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315" yWindow="15" windowWidth="14760" windowHeight="10140" tabRatio="913" firstSheet="5" activeTab="5"/>
  </bookViews>
  <sheets>
    <sheet name="2017 Report" sheetId="10" state="hidden" r:id="rId1"/>
    <sheet name="2017 Interventions" sheetId="11" state="hidden" r:id="rId2"/>
    <sheet name="2016 Report" sheetId="6" state="hidden" r:id="rId3"/>
    <sheet name="2016 Interventions" sheetId="9" state="hidden" r:id="rId4"/>
    <sheet name="List" sheetId="3" state="hidden" r:id="rId5"/>
    <sheet name="2017" sheetId="17" r:id="rId6"/>
  </sheets>
  <externalReferences>
    <externalReference r:id="rId7"/>
  </externalReferences>
  <definedNames>
    <definedName name="_xlnm._FilterDatabase" localSheetId="5" hidden="1">'2017'!$A$1:$Z$16</definedName>
    <definedName name="date">#REF!</definedName>
    <definedName name="SeaLiceData2016">'[1]2016'!$A$2:$DT$286</definedName>
    <definedName name="SeaLiceData2017">#REF!</definedName>
  </definedNames>
  <calcPr calcId="125725"/>
</workbook>
</file>

<file path=xl/calcChain.xml><?xml version="1.0" encoding="utf-8"?>
<calcChain xmlns="http://schemas.openxmlformats.org/spreadsheetml/2006/main">
  <c r="D4" i="17"/>
  <c r="E16"/>
  <c r="D16"/>
  <c r="C16"/>
  <c r="B16"/>
  <c r="E15"/>
  <c r="D15"/>
  <c r="C15"/>
  <c r="B15"/>
  <c r="E14"/>
  <c r="D14"/>
  <c r="C14"/>
  <c r="B14"/>
  <c r="E13"/>
  <c r="D13"/>
  <c r="C13"/>
  <c r="B13"/>
  <c r="E12"/>
  <c r="D12"/>
  <c r="C12"/>
  <c r="B12"/>
  <c r="E11"/>
  <c r="D11"/>
  <c r="C11"/>
  <c r="B11"/>
  <c r="E10"/>
  <c r="D10"/>
  <c r="C10"/>
  <c r="B10"/>
  <c r="E9"/>
  <c r="D9"/>
  <c r="C9"/>
  <c r="B9"/>
  <c r="E8"/>
  <c r="D8"/>
  <c r="C8"/>
  <c r="B8"/>
  <c r="E7"/>
  <c r="D7"/>
  <c r="C7"/>
  <c r="B7"/>
  <c r="E6"/>
  <c r="D6"/>
  <c r="C6"/>
  <c r="B6"/>
  <c r="E5"/>
  <c r="D5"/>
  <c r="C5"/>
  <c r="B5"/>
  <c r="E4"/>
  <c r="C4"/>
  <c r="B4"/>
  <c r="C28" i="6" l="1"/>
  <c r="B28"/>
  <c r="A28"/>
  <c r="C31"/>
  <c r="B31"/>
  <c r="A31"/>
  <c r="G28"/>
  <c r="F28"/>
  <c r="E28"/>
  <c r="D28"/>
  <c r="C38" i="11" l="1"/>
  <c r="C39"/>
  <c r="C30"/>
  <c r="C25" i="10"/>
  <c r="J40" s="1"/>
  <c r="B10"/>
  <c r="J4" s="1"/>
  <c r="A10"/>
  <c r="J3" s="1"/>
  <c r="C31"/>
  <c r="J54" s="1"/>
  <c r="F10"/>
  <c r="J8" s="1"/>
  <c r="B31"/>
  <c r="J53" s="1"/>
  <c r="G10"/>
  <c r="J9" s="1"/>
  <c r="A13"/>
  <c r="J10" s="1"/>
  <c r="B13"/>
  <c r="J11" s="1"/>
  <c r="C13"/>
  <c r="J12" s="1"/>
  <c r="D13"/>
  <c r="J13" s="1"/>
  <c r="E13"/>
  <c r="J14" s="1"/>
  <c r="F13"/>
  <c r="J15" s="1"/>
  <c r="G13"/>
  <c r="J16" s="1"/>
  <c r="A16"/>
  <c r="J17" s="1"/>
  <c r="B16"/>
  <c r="J18" s="1"/>
  <c r="C16"/>
  <c r="J19" s="1"/>
  <c r="D16"/>
  <c r="J20" s="1"/>
  <c r="E16"/>
  <c r="J21" s="1"/>
  <c r="F16"/>
  <c r="J22" s="1"/>
  <c r="G16"/>
  <c r="J23" s="1"/>
  <c r="A19"/>
  <c r="J24" s="1"/>
  <c r="B19"/>
  <c r="J25" s="1"/>
  <c r="C19"/>
  <c r="J26" s="1"/>
  <c r="D19"/>
  <c r="J27" s="1"/>
  <c r="E19"/>
  <c r="J28" s="1"/>
  <c r="F19"/>
  <c r="J29" s="1"/>
  <c r="G19"/>
  <c r="J30" s="1"/>
  <c r="A22"/>
  <c r="J31" s="1"/>
  <c r="B22"/>
  <c r="J32" s="1"/>
  <c r="C22"/>
  <c r="J33" s="1"/>
  <c r="D22"/>
  <c r="J34" s="1"/>
  <c r="E22"/>
  <c r="J35" s="1"/>
  <c r="E4" l="1"/>
  <c r="B38" i="11"/>
  <c r="B39"/>
  <c r="A39"/>
  <c r="G35"/>
  <c r="F35"/>
  <c r="E35"/>
  <c r="D35"/>
  <c r="C35"/>
  <c r="B35"/>
  <c r="A35"/>
  <c r="G31"/>
  <c r="F31"/>
  <c r="E31"/>
  <c r="D31"/>
  <c r="C31"/>
  <c r="B31"/>
  <c r="A31"/>
  <c r="G27"/>
  <c r="F27"/>
  <c r="E27"/>
  <c r="D27"/>
  <c r="C27"/>
  <c r="B27"/>
  <c r="A27"/>
  <c r="G23"/>
  <c r="F23"/>
  <c r="E23"/>
  <c r="D23"/>
  <c r="C23"/>
  <c r="B23"/>
  <c r="A23"/>
  <c r="G19"/>
  <c r="G15"/>
  <c r="A19"/>
  <c r="B19"/>
  <c r="C19"/>
  <c r="D19"/>
  <c r="E19"/>
  <c r="F19"/>
  <c r="F15"/>
  <c r="E15"/>
  <c r="D15"/>
  <c r="C15"/>
  <c r="B15"/>
  <c r="A15"/>
  <c r="G11"/>
  <c r="F11"/>
  <c r="E11"/>
  <c r="D11"/>
  <c r="C11"/>
  <c r="B11"/>
  <c r="A11"/>
  <c r="A38"/>
  <c r="G34"/>
  <c r="F34"/>
  <c r="E34"/>
  <c r="D34"/>
  <c r="C34"/>
  <c r="B34"/>
  <c r="A34"/>
  <c r="G30"/>
  <c r="F30"/>
  <c r="E30"/>
  <c r="D30"/>
  <c r="B30"/>
  <c r="A30"/>
  <c r="G26"/>
  <c r="F26"/>
  <c r="E26"/>
  <c r="D26"/>
  <c r="C26"/>
  <c r="B26"/>
  <c r="A26"/>
  <c r="G22"/>
  <c r="F22"/>
  <c r="E22"/>
  <c r="D22"/>
  <c r="C22"/>
  <c r="B22"/>
  <c r="A22"/>
  <c r="G18"/>
  <c r="F18"/>
  <c r="E18"/>
  <c r="D18"/>
  <c r="C18"/>
  <c r="B18"/>
  <c r="A18"/>
  <c r="G14"/>
  <c r="F14"/>
  <c r="E14"/>
  <c r="D14"/>
  <c r="C14"/>
  <c r="B14"/>
  <c r="A14"/>
  <c r="G10"/>
  <c r="F10"/>
  <c r="E10"/>
  <c r="D10"/>
  <c r="C10"/>
  <c r="B10"/>
  <c r="A10"/>
  <c r="F28" i="10"/>
  <c r="J50" s="1"/>
  <c r="E28"/>
  <c r="J49" s="1"/>
  <c r="D28"/>
  <c r="J48" s="1"/>
  <c r="C28"/>
  <c r="J47" s="1"/>
  <c r="F25"/>
  <c r="J43" s="1"/>
  <c r="E25"/>
  <c r="J42" s="1"/>
  <c r="D25"/>
  <c r="J41" s="1"/>
  <c r="F22"/>
  <c r="J36" s="1"/>
  <c r="B25"/>
  <c r="J39" s="1"/>
  <c r="B28"/>
  <c r="J46" s="1"/>
  <c r="A28"/>
  <c r="J45" s="1"/>
  <c r="A25"/>
  <c r="J38" s="1"/>
  <c r="G22"/>
  <c r="J37" s="1"/>
  <c r="G25"/>
  <c r="J44" s="1"/>
  <c r="A31"/>
  <c r="J52" s="1"/>
  <c r="G28"/>
  <c r="J51" s="1"/>
  <c r="E10"/>
  <c r="J7" s="1"/>
  <c r="D10"/>
  <c r="J6" s="1"/>
  <c r="C10"/>
  <c r="J5" s="1"/>
  <c r="G35" i="9"/>
  <c r="G34"/>
  <c r="F35"/>
  <c r="F34"/>
  <c r="E35"/>
  <c r="E34"/>
  <c r="D35"/>
  <c r="D34"/>
  <c r="C35"/>
  <c r="C34"/>
  <c r="A35"/>
  <c r="B35"/>
  <c r="B34"/>
  <c r="C38"/>
  <c r="B39"/>
  <c r="B38"/>
  <c r="A39"/>
  <c r="A38"/>
  <c r="A34"/>
  <c r="E6" i="11"/>
  <c r="E4"/>
  <c r="B6"/>
  <c r="C39" i="9" l="1"/>
  <c r="K46" i="6" l="1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7"/>
  <c r="K48"/>
  <c r="K49"/>
  <c r="K50"/>
  <c r="K51"/>
  <c r="K52"/>
  <c r="K53"/>
  <c r="K56"/>
  <c r="K55"/>
  <c r="K54"/>
  <c r="E4" i="9"/>
  <c r="E4" i="6"/>
  <c r="B6" l="1"/>
  <c r="E6"/>
  <c r="B6" i="9"/>
  <c r="E6"/>
  <c r="E6" i="10" l="1"/>
  <c r="B6"/>
</calcChain>
</file>

<file path=xl/comments1.xml><?xml version="1.0" encoding="utf-8"?>
<comments xmlns="http://schemas.openxmlformats.org/spreadsheetml/2006/main">
  <authors>
    <author>U202476</author>
    <author>u117729</author>
    <author>u202128</author>
    <author>u201349</author>
  </authors>
  <commentList>
    <comment ref="M4" authorId="0">
      <text>
        <r>
          <rPr>
            <b/>
            <sz val="9"/>
            <color indexed="81"/>
            <rFont val="Tahoma"/>
            <family val="2"/>
          </rPr>
          <t>U202476:</t>
        </r>
        <r>
          <rPr>
            <sz val="9"/>
            <color indexed="81"/>
            <rFont val="Tahoma"/>
            <family val="2"/>
          </rPr>
          <t xml:space="preserve">
Hydroliser broken down</t>
        </r>
      </text>
    </comment>
    <comment ref="Y4" authorId="1">
      <text>
        <r>
          <rPr>
            <b/>
            <sz val="9"/>
            <color indexed="81"/>
            <rFont val="Tahoma"/>
            <family val="2"/>
          </rPr>
          <t>u117729:</t>
        </r>
        <r>
          <rPr>
            <sz val="9"/>
            <color indexed="81"/>
            <rFont val="Tahoma"/>
            <family val="2"/>
          </rPr>
          <t xml:space="preserve">
Hydrolicer planned for week 1 or 2 2018 - following Strome.
</t>
        </r>
      </text>
    </comment>
    <comment ref="O5" authorId="0">
      <text>
        <r>
          <rPr>
            <b/>
            <sz val="9"/>
            <color indexed="81"/>
            <rFont val="Tahoma"/>
            <family val="2"/>
          </rPr>
          <t>U202476:</t>
        </r>
        <r>
          <rPr>
            <sz val="9"/>
            <color indexed="81"/>
            <rFont val="Tahoma"/>
            <family val="2"/>
          </rPr>
          <t xml:space="preserve">
Cleanerfish on site @ 8%. No count carried out due to treatment</t>
        </r>
      </text>
    </comment>
    <comment ref="Y5" authorId="1">
      <text>
        <r>
          <rPr>
            <b/>
            <sz val="9"/>
            <color indexed="81"/>
            <rFont val="Tahoma"/>
            <family val="2"/>
          </rPr>
          <t>u117729:</t>
        </r>
        <r>
          <rPr>
            <sz val="9"/>
            <color indexed="81"/>
            <rFont val="Tahoma"/>
            <family val="2"/>
          </rPr>
          <t xml:space="preserve">
Hydrolicer planned for week 1  2018
Also harvesting</t>
        </r>
      </text>
    </comment>
    <comment ref="P6" authorId="0">
      <text>
        <r>
          <rPr>
            <b/>
            <sz val="9"/>
            <color indexed="81"/>
            <rFont val="Tahoma"/>
            <family val="2"/>
          </rPr>
          <t>U202476:</t>
        </r>
        <r>
          <rPr>
            <sz val="9"/>
            <color indexed="81"/>
            <rFont val="Tahoma"/>
            <family val="2"/>
          </rPr>
          <t xml:space="preserve">
Currently grading and harvesting. Cleanerfish on site @ 8%</t>
        </r>
      </text>
    </comment>
    <comment ref="S6" authorId="2">
      <text>
        <r>
          <rPr>
            <b/>
            <sz val="9"/>
            <color indexed="81"/>
            <rFont val="Tahoma"/>
            <family val="2"/>
          </rPr>
          <t>u202128:</t>
        </r>
        <r>
          <rPr>
            <sz val="9"/>
            <color indexed="81"/>
            <rFont val="Tahoma"/>
            <family val="2"/>
          </rPr>
          <t xml:space="preserve">
Have reduced biomass</t>
        </r>
      </text>
    </comment>
    <comment ref="Y7" authorId="2">
      <text>
        <r>
          <rPr>
            <b/>
            <sz val="9"/>
            <color indexed="81"/>
            <rFont val="Tahoma"/>
            <family val="2"/>
          </rPr>
          <t>u202128:</t>
        </r>
        <r>
          <rPr>
            <sz val="9"/>
            <color indexed="81"/>
            <rFont val="Tahoma"/>
            <family val="2"/>
          </rPr>
          <t xml:space="preserve">
Hydrolicer due early January after Loch Odhairn</t>
        </r>
      </text>
    </comment>
    <comment ref="V8" authorId="2">
      <text>
        <r>
          <rPr>
            <b/>
            <sz val="9"/>
            <color indexed="81"/>
            <rFont val="Tahoma"/>
            <family val="2"/>
          </rPr>
          <t>u202128:</t>
        </r>
        <r>
          <rPr>
            <sz val="9"/>
            <color indexed="81"/>
            <rFont val="Tahoma"/>
            <family val="2"/>
          </rPr>
          <t xml:space="preserve">
Hydrolicer</t>
        </r>
      </text>
    </comment>
    <comment ref="J15" authorId="3">
      <text>
        <r>
          <rPr>
            <b/>
            <sz val="9"/>
            <color indexed="81"/>
            <rFont val="Tahoma"/>
            <family val="2"/>
          </rPr>
          <t>u201349:</t>
        </r>
        <r>
          <rPr>
            <sz val="9"/>
            <color indexed="81"/>
            <rFont val="Tahoma"/>
            <family val="2"/>
          </rPr>
          <t xml:space="preserve">
FW treatment</t>
        </r>
      </text>
    </comment>
    <comment ref="L15" authorId="0">
      <text>
        <r>
          <rPr>
            <b/>
            <sz val="9"/>
            <color indexed="81"/>
            <rFont val="Tahoma"/>
            <family val="2"/>
          </rPr>
          <t>U202476:</t>
        </r>
        <r>
          <rPr>
            <sz val="9"/>
            <color indexed="81"/>
            <rFont val="Tahoma"/>
            <family val="2"/>
          </rPr>
          <t xml:space="preserve">
Only 2 cages currently left stocked. Will be fallow 29/12/17. No counts to be done between now and harvest completion</t>
        </r>
      </text>
    </comment>
  </commentList>
</comments>
</file>

<file path=xl/sharedStrings.xml><?xml version="1.0" encoding="utf-8"?>
<sst xmlns="http://schemas.openxmlformats.org/spreadsheetml/2006/main" count="1743" uniqueCount="709">
  <si>
    <t>FS0001</t>
  </si>
  <si>
    <t>Evanachan Salt Water</t>
  </si>
  <si>
    <t>FB0012</t>
  </si>
  <si>
    <t>Otter Ferry Seafish  Ltd.,</t>
  </si>
  <si>
    <t>M-42</t>
  </si>
  <si>
    <t>FS0335</t>
  </si>
  <si>
    <t>South Drumachro</t>
  </si>
  <si>
    <t>M-46</t>
  </si>
  <si>
    <t>FS0843</t>
  </si>
  <si>
    <t>Evanachan Marine Hatchery</t>
  </si>
  <si>
    <t>FS0090</t>
  </si>
  <si>
    <t>Ormsary Broodstock Unit</t>
  </si>
  <si>
    <t>FB0061</t>
  </si>
  <si>
    <t>Landcatch Natural Selection Ltd</t>
  </si>
  <si>
    <t>M-44</t>
  </si>
  <si>
    <t>FS0031</t>
  </si>
  <si>
    <t>Pegal Bay</t>
  </si>
  <si>
    <t>FB0095</t>
  </si>
  <si>
    <t>Cooke Aquaculture Scotland Ltd</t>
  </si>
  <si>
    <t>O-3</t>
  </si>
  <si>
    <t>FS0054</t>
  </si>
  <si>
    <t>Lyrawa Bay</t>
  </si>
  <si>
    <t>FS0088</t>
  </si>
  <si>
    <t>Cloudin</t>
  </si>
  <si>
    <t>S-10</t>
  </si>
  <si>
    <t>FS0122</t>
  </si>
  <si>
    <t>Bay of Ham</t>
  </si>
  <si>
    <t>O-2</t>
  </si>
  <si>
    <t>FS0166</t>
  </si>
  <si>
    <t>Holm of Gruting</t>
  </si>
  <si>
    <t>FS0167</t>
  </si>
  <si>
    <t>Mid Taing</t>
  </si>
  <si>
    <t>FS0382</t>
  </si>
  <si>
    <t>Uyea Isle</t>
  </si>
  <si>
    <t>S-2</t>
  </si>
  <si>
    <t>FS0390</t>
  </si>
  <si>
    <t>Carness Bay</t>
  </si>
  <si>
    <t>FS0407</t>
  </si>
  <si>
    <t>Wick of Vatsetter</t>
  </si>
  <si>
    <t>S-3</t>
  </si>
  <si>
    <t>FS0451</t>
  </si>
  <si>
    <t>Turness</t>
  </si>
  <si>
    <t>FS0472</t>
  </si>
  <si>
    <t>Wick of Belmont</t>
  </si>
  <si>
    <t>FS0477</t>
  </si>
  <si>
    <t>Bow of Hascosay</t>
  </si>
  <si>
    <t>FS0595</t>
  </si>
  <si>
    <t>Bay of Cleat (South)</t>
  </si>
  <si>
    <t>O-1</t>
  </si>
  <si>
    <t>FS0597</t>
  </si>
  <si>
    <t>Meil Bay</t>
  </si>
  <si>
    <t>FS0637</t>
  </si>
  <si>
    <t>Stead of Aithness</t>
  </si>
  <si>
    <t>S-8b</t>
  </si>
  <si>
    <t>FS0645</t>
  </si>
  <si>
    <t>Kirk Noust</t>
  </si>
  <si>
    <t>FS0656</t>
  </si>
  <si>
    <t>Djubawick</t>
  </si>
  <si>
    <t>FS0666</t>
  </si>
  <si>
    <t>Burrastow</t>
  </si>
  <si>
    <t>FS0710</t>
  </si>
  <si>
    <t>Sandwick</t>
  </si>
  <si>
    <t>FS0802</t>
  </si>
  <si>
    <t>Kirkabister</t>
  </si>
  <si>
    <t>FS0871</t>
  </si>
  <si>
    <t>Winna Ness</t>
  </si>
  <si>
    <t>FS0896</t>
  </si>
  <si>
    <t>Mula</t>
  </si>
  <si>
    <t>FS0908</t>
  </si>
  <si>
    <t>Quanterness</t>
  </si>
  <si>
    <t>FS0960</t>
  </si>
  <si>
    <t>East of Holm Heogland (Burkwell)</t>
  </si>
  <si>
    <t>FS0962</t>
  </si>
  <si>
    <t>South Holm of Heogland</t>
  </si>
  <si>
    <t>FS0993</t>
  </si>
  <si>
    <t>Chalmers Hope</t>
  </si>
  <si>
    <t>FS1017</t>
  </si>
  <si>
    <t>Fara West</t>
  </si>
  <si>
    <t>FS1020</t>
  </si>
  <si>
    <t>Bay of Vady</t>
  </si>
  <si>
    <t>FS1043</t>
  </si>
  <si>
    <t>Ness of Copister</t>
  </si>
  <si>
    <t>S-4</t>
  </si>
  <si>
    <t>FS1053</t>
  </si>
  <si>
    <t>Hogan</t>
  </si>
  <si>
    <t>FS1057</t>
  </si>
  <si>
    <t>Vee Taing</t>
  </si>
  <si>
    <t>FS1060</t>
  </si>
  <si>
    <t>Wick of Garth</t>
  </si>
  <si>
    <t>FS1080</t>
  </si>
  <si>
    <t>Bay of Cleat (North)</t>
  </si>
  <si>
    <t>FS1198</t>
  </si>
  <si>
    <t>South Cava</t>
  </si>
  <si>
    <t>FS1209</t>
  </si>
  <si>
    <t>Ouseness</t>
  </si>
  <si>
    <t>FS1210</t>
  </si>
  <si>
    <t>Vestness</t>
  </si>
  <si>
    <t>FS1275</t>
  </si>
  <si>
    <t>Flaeshins</t>
  </si>
  <si>
    <t>FS1279</t>
  </si>
  <si>
    <t>Bastaness</t>
  </si>
  <si>
    <t>FS0015</t>
  </si>
  <si>
    <t>Loch Greshornish</t>
  </si>
  <si>
    <t>FB0119</t>
  </si>
  <si>
    <t>Marine Harvest (Scotland) Ltd</t>
  </si>
  <si>
    <t>M-24</t>
  </si>
  <si>
    <t>FS0016</t>
  </si>
  <si>
    <t>Loch Alsh (Sron)</t>
  </si>
  <si>
    <t>M-21</t>
  </si>
  <si>
    <t>FS0212</t>
  </si>
  <si>
    <t>Invasion Bay</t>
  </si>
  <si>
    <t>M-34</t>
  </si>
  <si>
    <t>FS0234</t>
  </si>
  <si>
    <t>Torridon</t>
  </si>
  <si>
    <t>M-17</t>
  </si>
  <si>
    <t>FS0237</t>
  </si>
  <si>
    <t>Gorsten</t>
  </si>
  <si>
    <t>M-33</t>
  </si>
  <si>
    <t>FS0240</t>
  </si>
  <si>
    <t>Linnhe</t>
  </si>
  <si>
    <t>FS0241</t>
  </si>
  <si>
    <t>Kingairloch</t>
  </si>
  <si>
    <t>M-36</t>
  </si>
  <si>
    <t>FS0244</t>
  </si>
  <si>
    <t>Loch Leven (1)</t>
  </si>
  <si>
    <t>FS0245</t>
  </si>
  <si>
    <t>Ardintoul</t>
  </si>
  <si>
    <t>FS0247</t>
  </si>
  <si>
    <t>Loch Harport</t>
  </si>
  <si>
    <t>M-27</t>
  </si>
  <si>
    <t>FS0248</t>
  </si>
  <si>
    <t>Loch Duich</t>
  </si>
  <si>
    <t>FS0249</t>
  </si>
  <si>
    <t>Ardnish</t>
  </si>
  <si>
    <t>M-31</t>
  </si>
  <si>
    <t>FS0252</t>
  </si>
  <si>
    <t>Cairidh</t>
  </si>
  <si>
    <t>M-28</t>
  </si>
  <si>
    <t>FS0356</t>
  </si>
  <si>
    <t>North Moine</t>
  </si>
  <si>
    <t>M-40</t>
  </si>
  <si>
    <t>FS0413</t>
  </si>
  <si>
    <t>Camas Glas</t>
  </si>
  <si>
    <t>FS0464</t>
  </si>
  <si>
    <t>Ardmaddy</t>
  </si>
  <si>
    <t>FS0480</t>
  </si>
  <si>
    <t>Vaccasay</t>
  </si>
  <si>
    <t>W-11</t>
  </si>
  <si>
    <t>FS0502</t>
  </si>
  <si>
    <t>Scotasay</t>
  </si>
  <si>
    <t>W-8</t>
  </si>
  <si>
    <t>FS0519</t>
  </si>
  <si>
    <t>Maol Ban</t>
  </si>
  <si>
    <t>FS0531</t>
  </si>
  <si>
    <t>Ornish Island</t>
  </si>
  <si>
    <t>W-18</t>
  </si>
  <si>
    <t>FS0599</t>
  </si>
  <si>
    <t>MacLean's Nose</t>
  </si>
  <si>
    <t>FS0602</t>
  </si>
  <si>
    <t>Sconser</t>
  </si>
  <si>
    <t>FS0605</t>
  </si>
  <si>
    <t>Creag an T'Sagairt (Loch Hourn)</t>
  </si>
  <si>
    <t>M-22</t>
  </si>
  <si>
    <t>FS0629</t>
  </si>
  <si>
    <t>Poll Na Gille</t>
  </si>
  <si>
    <t>FS0646</t>
  </si>
  <si>
    <t>Soay</t>
  </si>
  <si>
    <t>W-7</t>
  </si>
  <si>
    <t>FS0805</t>
  </si>
  <si>
    <t>Bagh Dail Nan Cean</t>
  </si>
  <si>
    <t>FS0817</t>
  </si>
  <si>
    <t>Ob Meavag</t>
  </si>
  <si>
    <t>FS0841</t>
  </si>
  <si>
    <t>Loch Boisdale (An Camus Calvay)</t>
  </si>
  <si>
    <t>W-20</t>
  </si>
  <si>
    <t>FS0859</t>
  </si>
  <si>
    <t>Port Na Cro</t>
  </si>
  <si>
    <t>FS0865</t>
  </si>
  <si>
    <t>Marulaig Bay</t>
  </si>
  <si>
    <t>FS1033</t>
  </si>
  <si>
    <t>North Shore</t>
  </si>
  <si>
    <t>W-3</t>
  </si>
  <si>
    <t>FS1042</t>
  </si>
  <si>
    <t>Seaforth</t>
  </si>
  <si>
    <t>W-6</t>
  </si>
  <si>
    <t>FS1046</t>
  </si>
  <si>
    <t>Larval Rearing Unit</t>
  </si>
  <si>
    <t>M-49</t>
  </si>
  <si>
    <t>FS1083</t>
  </si>
  <si>
    <t>Groatay</t>
  </si>
  <si>
    <t>FS1084</t>
  </si>
  <si>
    <t>Isle Ewe</t>
  </si>
  <si>
    <t>M-15</t>
  </si>
  <si>
    <t>FS1094</t>
  </si>
  <si>
    <t>Glencripesdale</t>
  </si>
  <si>
    <t>FS1122</t>
  </si>
  <si>
    <t>Grey Horse Channel</t>
  </si>
  <si>
    <t>FS1176</t>
  </si>
  <si>
    <t>Eilean Grianain</t>
  </si>
  <si>
    <t>M-47</t>
  </si>
  <si>
    <t>FS1259</t>
  </si>
  <si>
    <t>Stulaigh</t>
  </si>
  <si>
    <t>None</t>
  </si>
  <si>
    <t>FS1261</t>
  </si>
  <si>
    <t>Hellisay</t>
  </si>
  <si>
    <t>W-21</t>
  </si>
  <si>
    <t>FS1263</t>
  </si>
  <si>
    <t>Raineach</t>
  </si>
  <si>
    <t>FS1286</t>
  </si>
  <si>
    <t>Muck</t>
  </si>
  <si>
    <t>FS1291</t>
  </si>
  <si>
    <t>Caolas A Deas</t>
  </si>
  <si>
    <t>W-5</t>
  </si>
  <si>
    <t>FS1296</t>
  </si>
  <si>
    <t>Colonsay</t>
  </si>
  <si>
    <t>FS1297</t>
  </si>
  <si>
    <t>Tabhaigh</t>
  </si>
  <si>
    <t>FS0033</t>
  </si>
  <si>
    <t>Dury Voe</t>
  </si>
  <si>
    <t>FB0125</t>
  </si>
  <si>
    <t>Scottish Sea Farms Ltd</t>
  </si>
  <si>
    <t>S-5</t>
  </si>
  <si>
    <t>FS0039</t>
  </si>
  <si>
    <t>Pobie Sukka</t>
  </si>
  <si>
    <t>S-7</t>
  </si>
  <si>
    <t>FS0183</t>
  </si>
  <si>
    <t>South Sound</t>
  </si>
  <si>
    <t>S-8a</t>
  </si>
  <si>
    <t>FS0209</t>
  </si>
  <si>
    <t>Scallastle</t>
  </si>
  <si>
    <t>M-35</t>
  </si>
  <si>
    <t>FS0213</t>
  </si>
  <si>
    <t>Crooie</t>
  </si>
  <si>
    <t>S-11</t>
  </si>
  <si>
    <t>FS0228</t>
  </si>
  <si>
    <t>Selivoe (High Banks)</t>
  </si>
  <si>
    <t>FS0230</t>
  </si>
  <si>
    <t>Brunaness</t>
  </si>
  <si>
    <t>FS0253</t>
  </si>
  <si>
    <t>Loch Spelve (B)</t>
  </si>
  <si>
    <t>M-39</t>
  </si>
  <si>
    <t>FS0299</t>
  </si>
  <si>
    <t>Dunstaffnage</t>
  </si>
  <si>
    <t>FS0359</t>
  </si>
  <si>
    <t>Kempie Bay</t>
  </si>
  <si>
    <t>M-1</t>
  </si>
  <si>
    <t>FS0361</t>
  </si>
  <si>
    <t>Sian Bay</t>
  </si>
  <si>
    <t>FS0400</t>
  </si>
  <si>
    <t>Snaraness</t>
  </si>
  <si>
    <t>FS0426</t>
  </si>
  <si>
    <t>Loch Creran (B)</t>
  </si>
  <si>
    <t>FS0427</t>
  </si>
  <si>
    <t>Fishnish (A)</t>
  </si>
  <si>
    <t>FS0430</t>
  </si>
  <si>
    <t>Nevis A</t>
  </si>
  <si>
    <t>M-23</t>
  </si>
  <si>
    <t>FS0481</t>
  </si>
  <si>
    <t>North of Hoy</t>
  </si>
  <si>
    <t>FS0546</t>
  </si>
  <si>
    <t>Nevis C  (Ardintigh)</t>
  </si>
  <si>
    <t>FS0549</t>
  </si>
  <si>
    <t>Tanera</t>
  </si>
  <si>
    <t>M-10</t>
  </si>
  <si>
    <t>FS0607</t>
  </si>
  <si>
    <t>Breigeo  (Offshore)</t>
  </si>
  <si>
    <t>FS0608</t>
  </si>
  <si>
    <t>Vidlin North</t>
  </si>
  <si>
    <t>FS0616</t>
  </si>
  <si>
    <t>Nevis B</t>
  </si>
  <si>
    <t>FS0634</t>
  </si>
  <si>
    <t>Loch Spelve (A)</t>
  </si>
  <si>
    <t>FS0663</t>
  </si>
  <si>
    <t>Kerrera B</t>
  </si>
  <si>
    <t>FS0673</t>
  </si>
  <si>
    <t>East of Hildasay</t>
  </si>
  <si>
    <t>FS0691</t>
  </si>
  <si>
    <t>Sound of Hoy</t>
  </si>
  <si>
    <t>FS0694</t>
  </si>
  <si>
    <t>Fishnish (B)</t>
  </si>
  <si>
    <t>FS0695</t>
  </si>
  <si>
    <t>Shuna</t>
  </si>
  <si>
    <t>FS0696</t>
  </si>
  <si>
    <t>Fiunary</t>
  </si>
  <si>
    <t>FS0699</t>
  </si>
  <si>
    <t>Loura Voe</t>
  </si>
  <si>
    <t>FS0709</t>
  </si>
  <si>
    <t>Kishorn A (South)</t>
  </si>
  <si>
    <t>M-19</t>
  </si>
  <si>
    <t>FS0745</t>
  </si>
  <si>
    <t>Lismore North</t>
  </si>
  <si>
    <t>FS0749</t>
  </si>
  <si>
    <t>Holms Geo</t>
  </si>
  <si>
    <t>FS0791</t>
  </si>
  <si>
    <t>Binnaness</t>
  </si>
  <si>
    <t>FS0804</t>
  </si>
  <si>
    <t>Kishorn B (North)</t>
  </si>
  <si>
    <t>FS0813</t>
  </si>
  <si>
    <t>Puldrite</t>
  </si>
  <si>
    <t>FS0823</t>
  </si>
  <si>
    <t>Noust Geo</t>
  </si>
  <si>
    <t>FS0850</t>
  </si>
  <si>
    <t>Lippie Geo</t>
  </si>
  <si>
    <t>FS0858</t>
  </si>
  <si>
    <t>Fada</t>
  </si>
  <si>
    <t>FS0860</t>
  </si>
  <si>
    <t>Shapinsay</t>
  </si>
  <si>
    <t>FS0875</t>
  </si>
  <si>
    <t>Walters (East Lismore)</t>
  </si>
  <si>
    <t>FS0914</t>
  </si>
  <si>
    <t>Lismore West</t>
  </si>
  <si>
    <t>FS0915</t>
  </si>
  <si>
    <t>Breigeo Inshore</t>
  </si>
  <si>
    <t>FS0935</t>
  </si>
  <si>
    <t>Flotta</t>
  </si>
  <si>
    <t>FS0936</t>
  </si>
  <si>
    <t>Foreholm</t>
  </si>
  <si>
    <t>FS0964</t>
  </si>
  <si>
    <t>Bloody Bay</t>
  </si>
  <si>
    <t>FS1018</t>
  </si>
  <si>
    <t>Slocka Ronas Voe</t>
  </si>
  <si>
    <t>FS1023</t>
  </si>
  <si>
    <t>Bring Head</t>
  </si>
  <si>
    <t>FS1024</t>
  </si>
  <si>
    <t>Toyness</t>
  </si>
  <si>
    <t>FS1047</t>
  </si>
  <si>
    <t>Loch Creran (D)</t>
  </si>
  <si>
    <t>FS1058</t>
  </si>
  <si>
    <t>Inner Mangaster</t>
  </si>
  <si>
    <t>FS1093</t>
  </si>
  <si>
    <t>Teisti Geo</t>
  </si>
  <si>
    <t>FS1121</t>
  </si>
  <si>
    <t>Bight of Bellister, Dury Voe</t>
  </si>
  <si>
    <t>FS1274</t>
  </si>
  <si>
    <t>Kishorn West</t>
  </si>
  <si>
    <t>FS1294</t>
  </si>
  <si>
    <t>Wyre</t>
  </si>
  <si>
    <t>FS1305</t>
  </si>
  <si>
    <t>Westerbister</t>
  </si>
  <si>
    <t>FS0266</t>
  </si>
  <si>
    <t>Loch An Sal</t>
  </si>
  <si>
    <t>FB0132</t>
  </si>
  <si>
    <t>Finfish Ltd</t>
  </si>
  <si>
    <t>M-9</t>
  </si>
  <si>
    <t>FS0431</t>
  </si>
  <si>
    <t>Poll Loisgann</t>
  </si>
  <si>
    <t>FS0883</t>
  </si>
  <si>
    <t>Ghlas Mhor</t>
  </si>
  <si>
    <t>FS0271</t>
  </si>
  <si>
    <t>Kames Bay (west)</t>
  </si>
  <si>
    <t>FB0134</t>
  </si>
  <si>
    <t>Kames Fish Farming Ltd</t>
  </si>
  <si>
    <t>FS0462</t>
  </si>
  <si>
    <t>Kames Bay (east)</t>
  </si>
  <si>
    <t>FS0465</t>
  </si>
  <si>
    <t>Shuna Castle</t>
  </si>
  <si>
    <t>FS0777</t>
  </si>
  <si>
    <t>Eilean Coltair</t>
  </si>
  <si>
    <t>FS1290</t>
  </si>
  <si>
    <t>Shuna SW (Rubh'an Trilleachain)</t>
  </si>
  <si>
    <t>FS0050</t>
  </si>
  <si>
    <t>Kenmore Loch Torridon</t>
  </si>
  <si>
    <t>FB0169</t>
  </si>
  <si>
    <t>The Scottish Salmon Company</t>
  </si>
  <si>
    <t>FS0051</t>
  </si>
  <si>
    <t>Bagh Chlann Neill</t>
  </si>
  <si>
    <t>W-14</t>
  </si>
  <si>
    <t>FS0091</t>
  </si>
  <si>
    <t>Meall Mhor Loch Fyne</t>
  </si>
  <si>
    <t>FS0190</t>
  </si>
  <si>
    <t>Loch Stockinish</t>
  </si>
  <si>
    <t>W-9</t>
  </si>
  <si>
    <t>FS0242</t>
  </si>
  <si>
    <t>Loch Odhairn</t>
  </si>
  <si>
    <t>W-4</t>
  </si>
  <si>
    <t>FS0336</t>
  </si>
  <si>
    <t>Druimyeon Bay</t>
  </si>
  <si>
    <t>FS0340</t>
  </si>
  <si>
    <t>Kilerivagh / Petersport</t>
  </si>
  <si>
    <t>W-16</t>
  </si>
  <si>
    <t>FS0411</t>
  </si>
  <si>
    <t>Vuiabeag</t>
  </si>
  <si>
    <t>W-2</t>
  </si>
  <si>
    <t>FS0423</t>
  </si>
  <si>
    <t>Lamlash</t>
  </si>
  <si>
    <t>M-48</t>
  </si>
  <si>
    <t>FS0494</t>
  </si>
  <si>
    <t>Loch Meanenvagh</t>
  </si>
  <si>
    <t>W-15</t>
  </si>
  <si>
    <t>FS0559</t>
  </si>
  <si>
    <t>Ardyne</t>
  </si>
  <si>
    <t>M-45</t>
  </si>
  <si>
    <t>FS0567</t>
  </si>
  <si>
    <t>Furnace Quarry</t>
  </si>
  <si>
    <t>FS0570</t>
  </si>
  <si>
    <t>Strome</t>
  </si>
  <si>
    <t>M-20</t>
  </si>
  <si>
    <t>FS0590</t>
  </si>
  <si>
    <t>Glenan Bay</t>
  </si>
  <si>
    <t>FS0593</t>
  </si>
  <si>
    <t>Inch Kenneth</t>
  </si>
  <si>
    <t>M-37</t>
  </si>
  <si>
    <t>FS0594</t>
  </si>
  <si>
    <t>Aird</t>
  </si>
  <si>
    <t>FS0617</t>
  </si>
  <si>
    <t>Loch Tuath</t>
  </si>
  <si>
    <t>FS0683</t>
  </si>
  <si>
    <t>Gob a Bharra Loch Fyne</t>
  </si>
  <si>
    <t>FS0698</t>
  </si>
  <si>
    <t>Quarry Point</t>
  </si>
  <si>
    <t>FS0708</t>
  </si>
  <si>
    <t>Portree</t>
  </si>
  <si>
    <t>M-26</t>
  </si>
  <si>
    <t>FS0752</t>
  </si>
  <si>
    <t>Taranaish</t>
  </si>
  <si>
    <t>W-1</t>
  </si>
  <si>
    <t>FS0767</t>
  </si>
  <si>
    <t>Tarbert South</t>
  </si>
  <si>
    <t>FS0796</t>
  </si>
  <si>
    <t>Treanay</t>
  </si>
  <si>
    <t>W-13</t>
  </si>
  <si>
    <t>FS0818</t>
  </si>
  <si>
    <t>Ardcastle Bay</t>
  </si>
  <si>
    <t>FS0839</t>
  </si>
  <si>
    <t>Geasgill</t>
  </si>
  <si>
    <t>FS0851</t>
  </si>
  <si>
    <t>Ardgadden</t>
  </si>
  <si>
    <t>FS0894</t>
  </si>
  <si>
    <t>Rubha Stillaig</t>
  </si>
  <si>
    <t>FS0927</t>
  </si>
  <si>
    <t>Kyles of Vuia</t>
  </si>
  <si>
    <t>FS0998</t>
  </si>
  <si>
    <t>Gousam</t>
  </si>
  <si>
    <t>FS1010</t>
  </si>
  <si>
    <t>East Tarbert Bay</t>
  </si>
  <si>
    <t>FS1019</t>
  </si>
  <si>
    <t>Strondoir Bay</t>
  </si>
  <si>
    <t>FS1056</t>
  </si>
  <si>
    <t>Strone Point</t>
  </si>
  <si>
    <t>FS1091</t>
  </si>
  <si>
    <t>Vacasay</t>
  </si>
  <si>
    <t>FS1103</t>
  </si>
  <si>
    <t>Vuia Mor</t>
  </si>
  <si>
    <t>FS1118</t>
  </si>
  <si>
    <t>Trilleachan Mor</t>
  </si>
  <si>
    <t>FS1233</t>
  </si>
  <si>
    <t>Eughlam</t>
  </si>
  <si>
    <t>FS1254</t>
  </si>
  <si>
    <t>Outer Eport</t>
  </si>
  <si>
    <t>FS1255</t>
  </si>
  <si>
    <t>North Uiskevagh</t>
  </si>
  <si>
    <t>FS1256</t>
  </si>
  <si>
    <t>Plocrapol</t>
  </si>
  <si>
    <t>FS1262</t>
  </si>
  <si>
    <t>Sgeir Dughall</t>
  </si>
  <si>
    <t>FS1267</t>
  </si>
  <si>
    <t>Gometra</t>
  </si>
  <si>
    <t>FS1277</t>
  </si>
  <si>
    <t>Reibinish</t>
  </si>
  <si>
    <t>FS1281</t>
  </si>
  <si>
    <t>Sgian Dubh</t>
  </si>
  <si>
    <t>FS1282</t>
  </si>
  <si>
    <t>Greanamul</t>
  </si>
  <si>
    <t>FS1293</t>
  </si>
  <si>
    <t>Scadabay</t>
  </si>
  <si>
    <t>FS1304</t>
  </si>
  <si>
    <t>Maragay Mor</t>
  </si>
  <si>
    <t>FS0449</t>
  </si>
  <si>
    <t>Baltasound Harbour</t>
  </si>
  <si>
    <t>FB0220</t>
  </si>
  <si>
    <t>Balta Island Seafare Ltd</t>
  </si>
  <si>
    <t>S-1</t>
  </si>
  <si>
    <t>FS0717</t>
  </si>
  <si>
    <t>Balta Island</t>
  </si>
  <si>
    <t>FS0814</t>
  </si>
  <si>
    <t>Swarta Skerry</t>
  </si>
  <si>
    <t>FS1102</t>
  </si>
  <si>
    <t>Baltasound Pier</t>
  </si>
  <si>
    <t>FS0991</t>
  </si>
  <si>
    <t>Marine Hatchery</t>
  </si>
  <si>
    <t>FB0374</t>
  </si>
  <si>
    <t>NAFC Marine Centre</t>
  </si>
  <si>
    <t>FS0880</t>
  </si>
  <si>
    <t>Sgeir Mhor</t>
  </si>
  <si>
    <t>FB0380</t>
  </si>
  <si>
    <t>Sgeir Mhor (Salmon) Ltd.,</t>
  </si>
  <si>
    <t>FS1100</t>
  </si>
  <si>
    <t>Quarantine Facility</t>
  </si>
  <si>
    <t>FB0393</t>
  </si>
  <si>
    <t>Marine Environmental Research Laboratory</t>
  </si>
  <si>
    <t>FS0065</t>
  </si>
  <si>
    <t>Loch Laxford</t>
  </si>
  <si>
    <t>FB0398</t>
  </si>
  <si>
    <t>Loch Duart Ltd</t>
  </si>
  <si>
    <t>M-3</t>
  </si>
  <si>
    <t>FS0067</t>
  </si>
  <si>
    <t>Badcall Bay</t>
  </si>
  <si>
    <t>M-4</t>
  </si>
  <si>
    <t>FS0068</t>
  </si>
  <si>
    <t>Calva Bay (Calbha Beag)</t>
  </si>
  <si>
    <t>M-5</t>
  </si>
  <si>
    <t>FS0129</t>
  </si>
  <si>
    <t>Nedd</t>
  </si>
  <si>
    <t>M-7</t>
  </si>
  <si>
    <t>FS0487</t>
  </si>
  <si>
    <t>Drumbeg (Loch Dhrombaig)</t>
  </si>
  <si>
    <t>FS0621</t>
  </si>
  <si>
    <t>Loch A Chairn Bhain</t>
  </si>
  <si>
    <t>M-6</t>
  </si>
  <si>
    <t>FS0671</t>
  </si>
  <si>
    <t>Outer Bay (Loch Droighniche)</t>
  </si>
  <si>
    <t>FS0853</t>
  </si>
  <si>
    <t>Lochmaddy</t>
  </si>
  <si>
    <t>W-12</t>
  </si>
  <si>
    <t>FS0933</t>
  </si>
  <si>
    <t>Clashnessie Bay</t>
  </si>
  <si>
    <t>M-8</t>
  </si>
  <si>
    <t>FS1260</t>
  </si>
  <si>
    <t>Sound of Harris</t>
  </si>
  <si>
    <t>FS1280</t>
  </si>
  <si>
    <t>Loch Carnan</t>
  </si>
  <si>
    <t>W-17</t>
  </si>
  <si>
    <t>FS1299</t>
  </si>
  <si>
    <t>Laxford Hatchery</t>
  </si>
  <si>
    <t>FS1028</t>
  </si>
  <si>
    <t>Fjords Processing</t>
  </si>
  <si>
    <t>FB0414</t>
  </si>
  <si>
    <t>Fjords Processing Ltd</t>
  </si>
  <si>
    <t>FS0869</t>
  </si>
  <si>
    <t>Marine Farming Unit</t>
  </si>
  <si>
    <t>FB0439</t>
  </si>
  <si>
    <t>FAI Aquaculture Ltd</t>
  </si>
  <si>
    <t>M-32</t>
  </si>
  <si>
    <t>FS0941</t>
  </si>
  <si>
    <t>FAI Aultbea</t>
  </si>
  <si>
    <t>FS1065</t>
  </si>
  <si>
    <t>FAI Shetland</t>
  </si>
  <si>
    <t>FS0292</t>
  </si>
  <si>
    <t>Bight of Foraness</t>
  </si>
  <si>
    <t>FB0440</t>
  </si>
  <si>
    <t>Grieg Seafood Shetland Ltd</t>
  </si>
  <si>
    <t>FS0333</t>
  </si>
  <si>
    <t>East Voe Laxfirth</t>
  </si>
  <si>
    <t>S-9</t>
  </si>
  <si>
    <t>FS0408</t>
  </si>
  <si>
    <t>Poseidon</t>
  </si>
  <si>
    <t>FS0433</t>
  </si>
  <si>
    <t>Langa Isle (East)</t>
  </si>
  <si>
    <t>FS0447</t>
  </si>
  <si>
    <t>Papa</t>
  </si>
  <si>
    <t>FS0489</t>
  </si>
  <si>
    <t>Cole Deep</t>
  </si>
  <si>
    <t>FS0501</t>
  </si>
  <si>
    <t>Taing of Railsbrough Catfirth</t>
  </si>
  <si>
    <t>FS0515</t>
  </si>
  <si>
    <t>North Papa</t>
  </si>
  <si>
    <t>FS0674</t>
  </si>
  <si>
    <t>North Havra</t>
  </si>
  <si>
    <t>FS0785</t>
  </si>
  <si>
    <t>Spoose Holm</t>
  </si>
  <si>
    <t>FS0800</t>
  </si>
  <si>
    <t>Leinish</t>
  </si>
  <si>
    <t>M-25</t>
  </si>
  <si>
    <t>FS0903</t>
  </si>
  <si>
    <t>Swining Voe 3</t>
  </si>
  <si>
    <t>FS0937</t>
  </si>
  <si>
    <t>West of Burwick</t>
  </si>
  <si>
    <t>FS0946</t>
  </si>
  <si>
    <t>North Voe</t>
  </si>
  <si>
    <t>FS0948</t>
  </si>
  <si>
    <t>Score Holms</t>
  </si>
  <si>
    <t>FS0999</t>
  </si>
  <si>
    <t>Collafirth 3</t>
  </si>
  <si>
    <t>FS1027</t>
  </si>
  <si>
    <t>Linga (Setterness)</t>
  </si>
  <si>
    <t>FS1076</t>
  </si>
  <si>
    <t>Setterness North (Bomlo)</t>
  </si>
  <si>
    <t>FS1099</t>
  </si>
  <si>
    <t>Gletness</t>
  </si>
  <si>
    <t>FS1114</t>
  </si>
  <si>
    <t>Hamar Sound</t>
  </si>
  <si>
    <t>FS1115</t>
  </si>
  <si>
    <t>Geo of Valladale</t>
  </si>
  <si>
    <t>FS1144</t>
  </si>
  <si>
    <t>Hamnavoe</t>
  </si>
  <si>
    <t>FS1175</t>
  </si>
  <si>
    <t>Gob na Hoe</t>
  </si>
  <si>
    <t>FS1278</t>
  </si>
  <si>
    <t>East of Papa Little</t>
  </si>
  <si>
    <t>FS1287</t>
  </si>
  <si>
    <t>Corlarach</t>
  </si>
  <si>
    <t>FS0056</t>
  </si>
  <si>
    <t>Ardmair</t>
  </si>
  <si>
    <t>FB0447</t>
  </si>
  <si>
    <t>Wester Ross Fisheries Ltd</t>
  </si>
  <si>
    <t>M-11</t>
  </si>
  <si>
    <t>FS0057</t>
  </si>
  <si>
    <t>Corry Farm</t>
  </si>
  <si>
    <t>M-12</t>
  </si>
  <si>
    <t>FS0517</t>
  </si>
  <si>
    <t>Ardessie A</t>
  </si>
  <si>
    <t>M-14</t>
  </si>
  <si>
    <t>FS0675</t>
  </si>
  <si>
    <t>Ardessie B</t>
  </si>
  <si>
    <t>FS0197</t>
  </si>
  <si>
    <t>Ardchattan Bay</t>
  </si>
  <si>
    <t>FB0456</t>
  </si>
  <si>
    <t>Dawnfresh Farming Ltd</t>
  </si>
  <si>
    <t>FS1067</t>
  </si>
  <si>
    <t>Inverawe (East) Etive 2</t>
  </si>
  <si>
    <t>FS1101</t>
  </si>
  <si>
    <t>Etive 3 (Port na Mine)</t>
  </si>
  <si>
    <t>FS1112</t>
  </si>
  <si>
    <t>Etive 4</t>
  </si>
  <si>
    <t>FS1288</t>
  </si>
  <si>
    <t>Etive 6</t>
  </si>
  <si>
    <t>FS1265</t>
  </si>
  <si>
    <t>St Abbs Marine Station (Finfish)</t>
  </si>
  <si>
    <t>FB0554</t>
  </si>
  <si>
    <t>FS1298</t>
  </si>
  <si>
    <t>Mull Aquarium</t>
  </si>
  <si>
    <t>FB0563</t>
  </si>
  <si>
    <t>Tobermory Harbour Association Ltd</t>
  </si>
  <si>
    <t>FS1306</t>
  </si>
  <si>
    <t>Machrihanish Hanger</t>
  </si>
  <si>
    <t>FB0565</t>
  </si>
  <si>
    <t>NIRI Scotland Ltd</t>
  </si>
  <si>
    <t>Site Name</t>
  </si>
  <si>
    <t>Business Name</t>
  </si>
  <si>
    <t>CoGP MA</t>
  </si>
  <si>
    <t>Site No</t>
  </si>
  <si>
    <t>Business No</t>
  </si>
  <si>
    <t>Week 43</t>
  </si>
  <si>
    <t>Week 44</t>
  </si>
  <si>
    <t>Week 45</t>
  </si>
  <si>
    <t>Week 46</t>
  </si>
  <si>
    <t>Week 47</t>
  </si>
  <si>
    <t>Week 48</t>
  </si>
  <si>
    <t>Week 49</t>
  </si>
  <si>
    <t>Week 50</t>
  </si>
  <si>
    <t>Week 51</t>
  </si>
  <si>
    <t>Week 52</t>
  </si>
  <si>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</si>
  <si>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</si>
  <si>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</si>
  <si>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</si>
  <si>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</si>
  <si>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</si>
  <si>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</si>
  <si>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</si>
  <si>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</si>
  <si>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</si>
  <si>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</si>
  <si>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</si>
  <si>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</si>
  <si>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</si>
  <si>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</si>
  <si>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</si>
  <si>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</si>
  <si>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</si>
  <si>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</si>
  <si>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</si>
  <si>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Week 21</t>
  </si>
  <si>
    <t>Week 22</t>
  </si>
  <si>
    <t>Week 23</t>
  </si>
  <si>
    <t>Week 24</t>
  </si>
  <si>
    <t>Week 25</t>
  </si>
  <si>
    <t>Week 26</t>
  </si>
  <si>
    <t>Week 27</t>
  </si>
  <si>
    <t>Week 28</t>
  </si>
  <si>
    <t>Week 29</t>
  </si>
  <si>
    <t>Week 30</t>
  </si>
  <si>
    <t>Week 31</t>
  </si>
  <si>
    <t>Week 32</t>
  </si>
  <si>
    <t>Week 33</t>
  </si>
  <si>
    <t>Week 34</t>
  </si>
  <si>
    <t>Week 35</t>
  </si>
  <si>
    <t>Week 36</t>
  </si>
  <si>
    <t>Week 37</t>
  </si>
  <si>
    <t>Week 38</t>
  </si>
  <si>
    <t>Week 39</t>
  </si>
  <si>
    <t>Week 40</t>
  </si>
  <si>
    <t>Week 41</t>
  </si>
  <si>
    <t>Week 42</t>
  </si>
  <si>
    <t>no count</t>
  </si>
  <si>
    <t>EoC</t>
  </si>
  <si>
    <t>Treatment</t>
  </si>
  <si>
    <t>Implementation date 26/10/2016</t>
  </si>
  <si>
    <t>SEA LICE REPORT 2016</t>
  </si>
  <si>
    <t>Business No:</t>
  </si>
  <si>
    <t>Site No:</t>
  </si>
  <si>
    <t>Graph</t>
  </si>
  <si>
    <t>No Data</t>
  </si>
  <si>
    <t>SEA LICE REPORT 2017</t>
  </si>
  <si>
    <t>EN</t>
  </si>
  <si>
    <t>FHI Action</t>
  </si>
  <si>
    <t>Count</t>
  </si>
  <si>
    <t>&lt;3</t>
  </si>
  <si>
    <t>No count</t>
  </si>
  <si>
    <t>Warning Letter</t>
  </si>
  <si>
    <t>&gt;3&lt;8</t>
  </si>
  <si>
    <t>Breach</t>
  </si>
  <si>
    <t>Bath</t>
  </si>
  <si>
    <t>Cleanerfish</t>
  </si>
  <si>
    <t>Harvesting</t>
  </si>
  <si>
    <t>In Feed</t>
  </si>
  <si>
    <t>Bio Reduction</t>
  </si>
  <si>
    <t>&gt;8</t>
  </si>
  <si>
    <t>Physical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</si>
</sst>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>
      <alignment vertical="top"/>
    </xf>
    <xf numFmtId="0" fontId="1" fillId="0" borderId="0">
      <alignment vertical="top"/>
    </xf>
  </cellStyleXfs>
  <cellXfs count="48">
    <xf numFmtId="0" fontId="0" fillId="0" borderId="0" xfId="0"/>
    <xf numFmtId="0" fontId="0" fillId="0" borderId="1" xfId="2" applyFont="1" applyBorder="1" applyAlignment="1">
      <alignment horizontal="left" vertical="top"/>
    </xf>
    <xf numFmtId="0" fontId="0" fillId="0" borderId="2" xfId="2" applyFont="1" applyFill="1" applyBorder="1" applyAlignment="1">
      <alignment horizontal="left" vertical="top"/>
    </xf>
    <xf numFmtId="0" fontId="0" fillId="2" borderId="0" xfId="0" applyFill="1" applyAlignment="1" applyProtection="1">
      <alignment vertical="top" wrapText="1"/>
    </xf>
    <xf numFmtId="0" fontId="0" fillId="2" borderId="0" xfId="0" applyFill="1" applyAlignment="1" applyProtection="1">
      <alignment vertical="top"/>
    </xf>
    <xf numFmtId="0" fontId="0" fillId="2" borderId="0" xfId="0" applyFill="1" applyBorder="1" applyAlignment="1" applyProtection="1">
      <alignment vertical="top"/>
    </xf>
    <xf numFmtId="0" fontId="5" fillId="2" borderId="0" xfId="0" applyFont="1" applyFill="1" applyBorder="1" applyAlignment="1" applyProtection="1">
      <alignment vertical="top"/>
    </xf>
    <xf numFmtId="0" fontId="0" fillId="2" borderId="0" xfId="0" applyFill="1" applyAlignment="1" applyProtection="1">
      <alignment horizontal="center" vertical="center"/>
    </xf>
    <xf numFmtId="0" fontId="0" fillId="2" borderId="0" xfId="0" applyFill="1" applyBorder="1" applyAlignment="1" applyProtection="1">
      <alignment horizontal="center" vertical="center"/>
    </xf>
    <xf numFmtId="0" fontId="0" fillId="2" borderId="0" xfId="0" applyFill="1" applyAlignment="1" applyProtection="1">
      <alignment vertical="center"/>
    </xf>
    <xf numFmtId="0" fontId="0" fillId="2" borderId="0" xfId="0" applyFill="1" applyBorder="1" applyAlignment="1" applyProtection="1">
      <alignment vertical="center"/>
    </xf>
    <xf numFmtId="0" fontId="5" fillId="2" borderId="0" xfId="0" applyFont="1" applyFill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 vertical="center"/>
    </xf>
    <xf numFmtId="0" fontId="0" fillId="2" borderId="0" xfId="0" applyFill="1" applyAlignment="1" applyProtection="1">
      <alignment horizontal="right" vertical="center"/>
    </xf>
    <xf numFmtId="0" fontId="0" fillId="2" borderId="0" xfId="0" applyFill="1" applyAlignment="1" applyProtection="1">
      <alignment horizontal="right" vertical="top"/>
    </xf>
    <xf numFmtId="0" fontId="0" fillId="0" borderId="0" xfId="0" applyFill="1" applyAlignment="1" applyProtection="1">
      <alignment vertical="top"/>
    </xf>
    <xf numFmtId="0" fontId="0" fillId="0" borderId="0" xfId="0" applyFill="1" applyBorder="1" applyAlignment="1" applyProtection="1">
      <alignment vertical="top"/>
    </xf>
    <xf numFmtId="0" fontId="0" fillId="2" borderId="0" xfId="0" applyFill="1" applyBorder="1" applyAlignment="1" applyProtection="1">
      <alignment horizontal="right" vertical="center"/>
    </xf>
    <xf numFmtId="0" fontId="0" fillId="2" borderId="0" xfId="0" applyFill="1" applyAlignment="1" applyProtection="1">
      <alignment horizontal="left" vertical="center"/>
    </xf>
    <xf numFmtId="0" fontId="0" fillId="2" borderId="3" xfId="0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 readingOrder="1"/>
      <protection locked="0"/>
    </xf>
    <xf numFmtId="0" fontId="0" fillId="0" borderId="0" xfId="0" applyNumberFormat="1" applyFont="1" applyAlignment="1" applyProtection="1">
      <alignment horizontal="center" vertical="center" readingOrder="1"/>
      <protection locked="0"/>
    </xf>
    <xf numFmtId="0" fontId="2" fillId="0" borderId="1" xfId="1" applyNumberFormat="1" applyFont="1" applyBorder="1" applyAlignment="1" applyProtection="1">
      <alignment horizontal="center" vertical="center" wrapText="1" readingOrder="1"/>
    </xf>
    <xf numFmtId="0" fontId="0" fillId="0" borderId="0" xfId="0" applyNumberFormat="1" applyFont="1" applyAlignment="1" applyProtection="1">
      <alignment horizontal="center" vertical="center" readingOrder="1"/>
    </xf>
    <xf numFmtId="0" fontId="0" fillId="2" borderId="0" xfId="0" applyNumberFormat="1" applyFont="1" applyFill="1" applyAlignment="1" applyProtection="1">
      <alignment horizontal="center" vertical="center" readingOrder="1"/>
    </xf>
    <xf numFmtId="164" fontId="0" fillId="2" borderId="0" xfId="0" applyNumberFormat="1" applyFont="1" applyFill="1" applyAlignment="1" applyProtection="1">
      <alignment horizontal="center" vertical="center" readingOrder="1"/>
    </xf>
    <xf numFmtId="164" fontId="2" fillId="0" borderId="1" xfId="1" applyNumberFormat="1" applyFont="1" applyBorder="1" applyAlignment="1" applyProtection="1">
      <alignment horizontal="center" vertical="center" wrapText="1" readingOrder="1"/>
      <protection locked="0"/>
    </xf>
    <xf numFmtId="0" fontId="0" fillId="0" borderId="0" xfId="0" applyFont="1" applyAlignment="1" applyProtection="1">
      <alignment horizontal="center" vertical="center" readingOrder="1"/>
      <protection locked="0"/>
    </xf>
    <xf numFmtId="0" fontId="0" fillId="0" borderId="0" xfId="0" applyNumberFormat="1" applyFont="1" applyFill="1" applyAlignment="1" applyProtection="1">
      <alignment horizontal="center" vertical="center" readingOrder="1"/>
      <protection locked="0"/>
    </xf>
    <xf numFmtId="0" fontId="0" fillId="0" borderId="0" xfId="0" applyBorder="1"/>
    <xf numFmtId="164" fontId="0" fillId="0" borderId="0" xfId="0" applyNumberFormat="1" applyFont="1" applyFill="1" applyAlignment="1" applyProtection="1">
      <alignment horizontal="center" vertical="center" readingOrder="1"/>
      <protection locked="0"/>
    </xf>
    <xf numFmtId="0" fontId="2" fillId="0" borderId="1" xfId="0" applyNumberFormat="1" applyFont="1" applyFill="1" applyBorder="1" applyAlignment="1" applyProtection="1">
      <alignment horizontal="center" vertical="center" readingOrder="1"/>
      <protection locked="0"/>
    </xf>
    <xf numFmtId="0" fontId="0" fillId="0" borderId="1" xfId="0" applyNumberFormat="1" applyFont="1" applyBorder="1" applyAlignment="1" applyProtection="1">
      <alignment horizontal="center" vertical="center" readingOrder="1"/>
    </xf>
    <xf numFmtId="0" fontId="0" fillId="0" borderId="1" xfId="0" applyNumberFormat="1" applyFont="1" applyBorder="1" applyAlignment="1" applyProtection="1">
      <alignment horizontal="center" vertical="center" readingOrder="1"/>
      <protection locked="0"/>
    </xf>
    <xf numFmtId="0" fontId="0" fillId="2" borderId="1" xfId="0" applyFont="1" applyFill="1" applyBorder="1" applyAlignment="1" applyProtection="1">
      <alignment horizontal="center" vertical="center" readingOrder="1"/>
      <protection locked="0"/>
    </xf>
    <xf numFmtId="0" fontId="0" fillId="0" borderId="1" xfId="0" applyFont="1" applyBorder="1" applyAlignment="1" applyProtection="1">
      <alignment horizontal="center" vertical="center" readingOrder="1"/>
      <protection locked="0"/>
    </xf>
    <xf numFmtId="0" fontId="0" fillId="0" borderId="1" xfId="0" applyFont="1" applyFill="1" applyBorder="1" applyAlignment="1" applyProtection="1">
      <alignment horizontal="center" vertical="center" readingOrder="1"/>
      <protection locked="0"/>
    </xf>
    <xf numFmtId="0" fontId="0" fillId="0" borderId="1" xfId="0" applyNumberFormat="1" applyFont="1" applyFill="1" applyBorder="1" applyAlignment="1" applyProtection="1">
      <alignment horizontal="center" vertical="center" readingOrder="1"/>
      <protection locked="0"/>
    </xf>
    <xf numFmtId="0" fontId="6" fillId="0" borderId="1" xfId="0" applyNumberFormat="1" applyFont="1" applyFill="1" applyBorder="1" applyAlignment="1" applyProtection="1">
      <alignment horizontal="center" vertical="center" readingOrder="1"/>
      <protection locked="0"/>
    </xf>
    <xf numFmtId="0" fontId="0" fillId="2" borderId="4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6" xfId="0" applyFill="1" applyBorder="1" applyAlignment="1" applyProtection="1">
      <alignment horizontal="center" vertical="center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4" xfId="0" applyFill="1" applyBorder="1" applyAlignment="1" applyProtection="1">
      <alignment horizontal="right" vertical="center"/>
    </xf>
    <xf numFmtId="0" fontId="0" fillId="2" borderId="5" xfId="0" applyFill="1" applyBorder="1" applyAlignment="1" applyProtection="1">
      <alignment horizontal="right" vertical="center"/>
    </xf>
    <xf numFmtId="0" fontId="0" fillId="2" borderId="4" xfId="0" applyFill="1" applyBorder="1" applyAlignment="1" applyProtection="1">
      <alignment horizontal="right" vertical="top"/>
    </xf>
    <xf numFmtId="0" fontId="0" fillId="2" borderId="5" xfId="0" applyFill="1" applyBorder="1" applyAlignment="1" applyProtection="1">
      <alignment horizontal="right" vertical="top"/>
    </xf>
  </cellXfs>
  <cellStyles count="3">
    <cellStyle name="Normal" xfId="0" builtinId="0"/>
    <cellStyle name="Normal 2" xfId="1"/>
    <cellStyle name="Normal_2016" xfId="2"/>
  </cellStyles>
  <dxfs count="0"/>
  <tableStyles count="0" defaultTableStyle="TableStyleMedium2" defaultPivotStyle="PivotStyleLight16"/>
  <colors>
    <mruColors>
      <color rgb="FFFFCC00"/>
      <color rgb="FFFFFF66"/>
      <color rgb="FF00FFFF"/>
      <color rgb="FFFF4747"/>
      <color rgb="FFFF1D1D"/>
      <color rgb="FFFFFFFF"/>
      <color rgb="FFFCB6B8"/>
      <color rgb="FFF52F34"/>
      <color rgb="FFF64044"/>
      <color rgb="FFFF631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US"/>
              <a:t>Average adult female by</a:t>
            </a:r>
            <a:r>
              <a:rPr lang="en-US" baseline="0"/>
              <a:t> week</a:t>
            </a:r>
          </a:p>
          <a:p>
            <a:pPr>
              <a:defRPr/>
            </a:pPr>
            <a:r>
              <a:rPr lang="en-US" baseline="0"/>
              <a:t>(only reported &gt;3) </a:t>
            </a:r>
            <a:endParaRPr lang="en-US"/>
          </a:p>
        </c:rich>
      </c:tx>
    </c:title>
    <c:plotArea>
      <c:layout/>
      <c:lineChart>
        <c:grouping val="standard"/>
        <c:ser>
          <c:idx val="0"/>
          <c:order val="0"/>
          <c:val>
            <c:numRef>
              <c:f>'2017 Report'!$J$3:$J$54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</c:ser>
        <c:dLbls/>
        <c:marker val="1"/>
        <c:axId val="121677312"/>
        <c:axId val="121678848"/>
      </c:lineChart>
      <c:catAx>
        <c:axId val="121677312"/>
        <c:scaling>
          <c:orientation val="minMax"/>
        </c:scaling>
        <c:axPos val="b"/>
        <c:numFmt formatCode="General" sourceLinked="1"/>
        <c:majorTickMark val="none"/>
        <c:tickLblPos val="nextTo"/>
        <c:crossAx val="121678848"/>
        <c:crosses val="autoZero"/>
        <c:auto val="1"/>
        <c:lblAlgn val="ctr"/>
        <c:lblOffset val="100"/>
      </c:catAx>
      <c:valAx>
        <c:axId val="12167884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121677312"/>
        <c:crosses val="autoZero"/>
        <c:crossBetween val="between"/>
      </c:valAx>
    </c:plotArea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GB"/>
  <c:chart>
    <c:title>
      <c:tx>
        <c:rich>
          <a:bodyPr/>
          <a:lstStyle/>
          <a:p>
            <a:pPr>
              <a:defRPr/>
            </a:pPr>
            <a:r>
              <a:rPr lang="en-US"/>
              <a:t>Average adult female by</a:t>
            </a:r>
            <a:r>
              <a:rPr lang="en-US" baseline="0"/>
              <a:t> week</a:t>
            </a:r>
          </a:p>
          <a:p>
            <a:pPr>
              <a:defRPr/>
            </a:pPr>
            <a:r>
              <a:rPr lang="en-US" baseline="0"/>
              <a:t>(only reported &gt;3) </a:t>
            </a:r>
            <a:endParaRPr lang="en-US"/>
          </a:p>
        </c:rich>
      </c:tx>
    </c:title>
    <c:plotArea>
      <c:layout/>
      <c:lineChart>
        <c:grouping val="standard"/>
        <c:ser>
          <c:idx val="0"/>
          <c:order val="0"/>
          <c:tx>
            <c:v>Adult Female </c:v>
          </c:tx>
          <c:marker>
            <c:symbol val="circle"/>
            <c:size val="7"/>
          </c:marker>
          <c:cat>
            <c:numRef>
              <c:f>'2016 Report'!$J$5:$J$56</c:f>
              <c:numCache>
                <c:formatCode>General</c:formatCode>
                <c:ptCount val="5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</c:numCache>
            </c:numRef>
          </c:cat>
          <c:val>
            <c:numRef>
              <c:f>'2016 Report'!$K$5:$K$56</c:f>
              <c:numCache>
                <c:formatCode>General</c:formatCode>
                <c:ptCount val="5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</c:ser>
        <c:dLbls/>
        <c:marker val="1"/>
        <c:axId val="121703424"/>
        <c:axId val="121733888"/>
      </c:lineChart>
      <c:catAx>
        <c:axId val="121703424"/>
        <c:scaling>
          <c:orientation val="minMax"/>
        </c:scaling>
        <c:axPos val="b"/>
        <c:numFmt formatCode="General" sourceLinked="1"/>
        <c:majorTickMark val="none"/>
        <c:tickLblPos val="nextTo"/>
        <c:crossAx val="121733888"/>
        <c:crosses val="autoZero"/>
        <c:auto val="1"/>
        <c:lblAlgn val="ctr"/>
        <c:lblOffset val="100"/>
      </c:catAx>
      <c:valAx>
        <c:axId val="121733888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crossAx val="121703424"/>
        <c:crosses val="autoZero"/>
        <c:crossBetween val="between"/>
      </c:valAx>
    </c:plotArea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</xdr:colOff>
      <xdr:row>33</xdr:row>
      <xdr:rowOff>161925</xdr:rowOff>
    </xdr:from>
    <xdr:to>
      <xdr:col>7</xdr:col>
      <xdr:colOff>19050</xdr:colOff>
      <xdr:row>53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33</xdr:row>
      <xdr:rowOff>161925</xdr:rowOff>
    </xdr:from>
    <xdr:to>
      <xdr:col>7</xdr:col>
      <xdr:colOff>47625</xdr:colOff>
      <xdr:row>53</xdr:row>
      <xdr:rowOff>104775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FHI\Sea%20Lice%20Reporting\Sea%20Lice%20Report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17"/>
      <sheetName val="Site Report 2017"/>
      <sheetName val="Site Interventions 2017 "/>
      <sheetName val="2016"/>
      <sheetName val="Site Report 2016"/>
      <sheetName val="Site Interventions 2016"/>
      <sheetName val="Lists"/>
    </sheetNames>
    <sheetDataSet>
      <sheetData sheetId="0" refreshError="1"/>
      <sheetData sheetId="1" refreshError="1"/>
      <sheetData sheetId="2" refreshError="1"/>
      <sheetData sheetId="3">
        <row r="2">
          <cell r="A2" t="str">
            <v>FS0001</v>
          </cell>
          <cell r="B2" t="str">
            <v>Evanachan Salt Water</v>
          </cell>
          <cell r="C2" t="str">
            <v>FB0012</v>
          </cell>
          <cell r="D2" t="str">
            <v>Otter Ferry Seafish  Ltd.,</v>
          </cell>
          <cell r="E2" t="str">
            <v>M-42</v>
          </cell>
          <cell r="DP2">
            <v>0</v>
          </cell>
        </row>
        <row r="3">
          <cell r="A3" t="str">
            <v>FS0335</v>
          </cell>
          <cell r="B3" t="str">
            <v>South Drumachro</v>
          </cell>
          <cell r="C3" t="str">
            <v>FB0012</v>
          </cell>
          <cell r="D3" t="str">
            <v>Otter Ferry Seafish  Ltd.,</v>
          </cell>
          <cell r="E3" t="str">
            <v>M-46</v>
          </cell>
          <cell r="DP3">
            <v>0</v>
          </cell>
        </row>
        <row r="4">
          <cell r="A4" t="str">
            <v>FS0843</v>
          </cell>
          <cell r="B4" t="str">
            <v>Evanachan Marine Hatchery</v>
          </cell>
          <cell r="C4" t="str">
            <v>FB0012</v>
          </cell>
          <cell r="D4" t="str">
            <v>Otter Ferry Seafish  Ltd.,</v>
          </cell>
          <cell r="E4" t="str">
            <v>M-42</v>
          </cell>
          <cell r="DP4">
            <v>0</v>
          </cell>
        </row>
        <row r="5">
          <cell r="A5" t="str">
            <v>FS0090</v>
          </cell>
          <cell r="B5" t="str">
            <v>Ormsary Broodstock Unit</v>
          </cell>
          <cell r="C5" t="str">
            <v>FB0061</v>
          </cell>
          <cell r="D5" t="str">
            <v>Landcatch Natural Selection Ltd</v>
          </cell>
          <cell r="E5" t="str">
            <v>M-44</v>
          </cell>
          <cell r="DP5">
            <v>0</v>
          </cell>
        </row>
        <row r="6">
          <cell r="A6" t="str">
            <v>FS0031</v>
          </cell>
          <cell r="B6" t="str">
            <v>Pegal Bay</v>
          </cell>
          <cell r="C6" t="str">
            <v>FB0095</v>
          </cell>
          <cell r="D6" t="str">
            <v>Cooke Aquaculture Scotland Ltd</v>
          </cell>
          <cell r="E6" t="str">
            <v>O-3</v>
          </cell>
          <cell r="DP6">
            <v>0</v>
          </cell>
        </row>
        <row r="7">
          <cell r="A7" t="str">
            <v>FS0054</v>
          </cell>
          <cell r="B7" t="str">
            <v>Lyrawa Bay</v>
          </cell>
          <cell r="C7" t="str">
            <v>FB0095</v>
          </cell>
          <cell r="D7" t="str">
            <v>Cooke Aquaculture Scotland Ltd</v>
          </cell>
          <cell r="E7" t="str">
            <v>O-3</v>
          </cell>
          <cell r="DP7">
            <v>0</v>
          </cell>
        </row>
        <row r="8">
          <cell r="A8" t="str">
            <v>FS0088</v>
          </cell>
          <cell r="B8" t="str">
            <v>Cloudin</v>
          </cell>
          <cell r="C8" t="str">
            <v>FB0095</v>
          </cell>
          <cell r="D8" t="str">
            <v>Cooke Aquaculture Scotland Ltd</v>
          </cell>
          <cell r="E8" t="str">
            <v>S-10</v>
          </cell>
          <cell r="DP8">
            <v>0</v>
          </cell>
        </row>
        <row r="9">
          <cell r="A9" t="str">
            <v>FS0122</v>
          </cell>
          <cell r="B9" t="str">
            <v>Bay of Ham</v>
          </cell>
          <cell r="C9" t="str">
            <v>FB0095</v>
          </cell>
          <cell r="D9" t="str">
            <v>Cooke Aquaculture Scotland Ltd</v>
          </cell>
          <cell r="E9" t="str">
            <v>O-2</v>
          </cell>
          <cell r="DP9">
            <v>0</v>
          </cell>
        </row>
        <row r="10">
          <cell r="A10" t="str">
            <v>FS0166</v>
          </cell>
          <cell r="B10" t="str">
            <v>Holm of Gruting</v>
          </cell>
          <cell r="C10" t="str">
            <v>FB0095</v>
          </cell>
          <cell r="D10" t="str">
            <v>Cooke Aquaculture Scotland Ltd</v>
          </cell>
          <cell r="E10" t="str">
            <v>S-10</v>
          </cell>
          <cell r="DP10">
            <v>0</v>
          </cell>
        </row>
        <row r="11">
          <cell r="A11" t="str">
            <v>FS0167</v>
          </cell>
          <cell r="B11" t="str">
            <v>Mid Taing</v>
          </cell>
          <cell r="C11" t="str">
            <v>FB0095</v>
          </cell>
          <cell r="D11" t="str">
            <v>Cooke Aquaculture Scotland Ltd</v>
          </cell>
          <cell r="E11" t="str">
            <v>S-10</v>
          </cell>
          <cell r="DP11">
            <v>0</v>
          </cell>
        </row>
        <row r="12">
          <cell r="A12" t="str">
            <v>FS0698</v>
          </cell>
          <cell r="B12" t="str">
            <v>Quarry Point</v>
          </cell>
          <cell r="C12" t="str">
            <v>FB0169</v>
          </cell>
          <cell r="D12" t="str">
            <v>The Scottish Salmon Company</v>
          </cell>
          <cell r="E12" t="str">
            <v>M-42</v>
          </cell>
          <cell r="CU12">
            <v>7.2</v>
          </cell>
          <cell r="CW12" t="str">
            <v>Hydro-flusher used</v>
          </cell>
          <cell r="CX12">
            <v>4.4000000000000004</v>
          </cell>
          <cell r="DA12">
            <v>6.57</v>
          </cell>
          <cell r="DD12">
            <v>9.9499999999999993</v>
          </cell>
          <cell r="DG12">
            <v>13.2</v>
          </cell>
          <cell r="DL12" t="str">
            <v>hydrolyser</v>
          </cell>
          <cell r="DP12">
            <v>0</v>
          </cell>
        </row>
        <row r="13">
          <cell r="A13" t="str">
            <v>FS0390</v>
          </cell>
          <cell r="B13" t="str">
            <v>Carness Bay</v>
          </cell>
          <cell r="C13" t="str">
            <v>FB0095</v>
          </cell>
          <cell r="D13" t="str">
            <v>Cooke Aquaculture Scotland Ltd</v>
          </cell>
          <cell r="E13" t="str">
            <v>O-2</v>
          </cell>
          <cell r="DP13">
            <v>0</v>
          </cell>
        </row>
        <row r="14">
          <cell r="A14" t="str">
            <v>FS0407</v>
          </cell>
          <cell r="B14" t="str">
            <v>Wick of Vatsetter</v>
          </cell>
          <cell r="C14" t="str">
            <v>FB0095</v>
          </cell>
          <cell r="D14" t="str">
            <v>Cooke Aquaculture Scotland Ltd</v>
          </cell>
          <cell r="E14" t="str">
            <v>S-3</v>
          </cell>
          <cell r="DP14">
            <v>0</v>
          </cell>
        </row>
        <row r="15">
          <cell r="A15" t="str">
            <v>FS0451</v>
          </cell>
          <cell r="B15" t="str">
            <v>Turness</v>
          </cell>
          <cell r="C15" t="str">
            <v>FB0095</v>
          </cell>
          <cell r="D15" t="str">
            <v>Cooke Aquaculture Scotland Ltd</v>
          </cell>
          <cell r="E15" t="str">
            <v>S-2</v>
          </cell>
          <cell r="DP15">
            <v>0</v>
          </cell>
        </row>
        <row r="16">
          <cell r="A16" t="str">
            <v>FS0472</v>
          </cell>
          <cell r="B16" t="str">
            <v>Wick of Belmont</v>
          </cell>
          <cell r="C16" t="str">
            <v>FB0095</v>
          </cell>
          <cell r="D16" t="str">
            <v>Cooke Aquaculture Scotland Ltd</v>
          </cell>
          <cell r="E16" t="str">
            <v>S-2</v>
          </cell>
          <cell r="DP16">
            <v>0</v>
          </cell>
        </row>
        <row r="17">
          <cell r="A17" t="str">
            <v>FS0477</v>
          </cell>
          <cell r="B17" t="str">
            <v>Bow of Hascosay</v>
          </cell>
          <cell r="C17" t="str">
            <v>FB0095</v>
          </cell>
          <cell r="D17" t="str">
            <v>Cooke Aquaculture Scotland Ltd</v>
          </cell>
          <cell r="E17" t="str">
            <v>S-3</v>
          </cell>
          <cell r="DP17">
            <v>0</v>
          </cell>
        </row>
        <row r="18">
          <cell r="A18" t="str">
            <v>FS0595</v>
          </cell>
          <cell r="B18" t="str">
            <v>Bay of Cleat (South)</v>
          </cell>
          <cell r="C18" t="str">
            <v>FB0095</v>
          </cell>
          <cell r="D18" t="str">
            <v>Cooke Aquaculture Scotland Ltd</v>
          </cell>
          <cell r="E18" t="str">
            <v>O-1</v>
          </cell>
          <cell r="DP18">
            <v>0</v>
          </cell>
        </row>
        <row r="19">
          <cell r="A19" t="str">
            <v>FS0597</v>
          </cell>
          <cell r="B19" t="str">
            <v>Meil Bay</v>
          </cell>
          <cell r="C19" t="str">
            <v>FB0095</v>
          </cell>
          <cell r="D19" t="str">
            <v>Cooke Aquaculture Scotland Ltd</v>
          </cell>
          <cell r="E19" t="str">
            <v>O-2</v>
          </cell>
          <cell r="DP19">
            <v>0</v>
          </cell>
        </row>
        <row r="20">
          <cell r="A20" t="str">
            <v>FS0637</v>
          </cell>
          <cell r="B20" t="str">
            <v>Stead of Aithness</v>
          </cell>
          <cell r="C20" t="str">
            <v>FB0095</v>
          </cell>
          <cell r="D20" t="str">
            <v>Cooke Aquaculture Scotland Ltd</v>
          </cell>
          <cell r="E20" t="str">
            <v>S-8b</v>
          </cell>
          <cell r="DP20">
            <v>0</v>
          </cell>
        </row>
        <row r="21">
          <cell r="A21" t="str">
            <v>FS0645</v>
          </cell>
          <cell r="B21" t="str">
            <v>Kirk Noust</v>
          </cell>
          <cell r="C21" t="str">
            <v>FB0095</v>
          </cell>
          <cell r="D21" t="str">
            <v>Cooke Aquaculture Scotland Ltd</v>
          </cell>
          <cell r="E21" t="str">
            <v>O-2</v>
          </cell>
          <cell r="DP21">
            <v>0</v>
          </cell>
        </row>
        <row r="22">
          <cell r="A22" t="str">
            <v>FS0656</v>
          </cell>
          <cell r="B22" t="str">
            <v>Djubawick</v>
          </cell>
          <cell r="C22" t="str">
            <v>FB0095</v>
          </cell>
          <cell r="D22" t="str">
            <v>Cooke Aquaculture Scotland Ltd</v>
          </cell>
          <cell r="E22" t="str">
            <v>S-3</v>
          </cell>
          <cell r="DP22">
            <v>0</v>
          </cell>
        </row>
        <row r="23">
          <cell r="A23" t="str">
            <v>FS0666</v>
          </cell>
          <cell r="B23" t="str">
            <v>Burrastow</v>
          </cell>
          <cell r="C23" t="str">
            <v>FB0095</v>
          </cell>
          <cell r="D23" t="str">
            <v>Cooke Aquaculture Scotland Ltd</v>
          </cell>
          <cell r="E23" t="str">
            <v>S-10</v>
          </cell>
          <cell r="DP23">
            <v>0</v>
          </cell>
        </row>
        <row r="24">
          <cell r="A24" t="str">
            <v>FS0710</v>
          </cell>
          <cell r="B24" t="str">
            <v>Sandwick</v>
          </cell>
          <cell r="C24" t="str">
            <v>FB0095</v>
          </cell>
          <cell r="D24" t="str">
            <v>Cooke Aquaculture Scotland Ltd</v>
          </cell>
          <cell r="E24" t="str">
            <v>S-3</v>
          </cell>
          <cell r="DP24">
            <v>0</v>
          </cell>
        </row>
        <row r="25">
          <cell r="A25" t="str">
            <v>FS0802</v>
          </cell>
          <cell r="B25" t="str">
            <v>Kirkabister</v>
          </cell>
          <cell r="C25" t="str">
            <v>FB0095</v>
          </cell>
          <cell r="D25" t="str">
            <v>Cooke Aquaculture Scotland Ltd</v>
          </cell>
          <cell r="E25" t="str">
            <v>S-3</v>
          </cell>
          <cell r="DP25">
            <v>0</v>
          </cell>
        </row>
        <row r="26">
          <cell r="A26" t="str">
            <v>FS0871</v>
          </cell>
          <cell r="B26" t="str">
            <v>Winna Ness</v>
          </cell>
          <cell r="C26" t="str">
            <v>FB0095</v>
          </cell>
          <cell r="D26" t="str">
            <v>Cooke Aquaculture Scotland Ltd</v>
          </cell>
          <cell r="E26" t="str">
            <v>S-2</v>
          </cell>
          <cell r="DP26">
            <v>0</v>
          </cell>
        </row>
        <row r="27">
          <cell r="A27" t="str">
            <v>FS0896</v>
          </cell>
          <cell r="B27" t="str">
            <v>Mula</v>
          </cell>
          <cell r="C27" t="str">
            <v>FB0095</v>
          </cell>
          <cell r="D27" t="str">
            <v>Cooke Aquaculture Scotland Ltd</v>
          </cell>
          <cell r="E27" t="str">
            <v>S-2</v>
          </cell>
          <cell r="DP27">
            <v>0</v>
          </cell>
        </row>
        <row r="28">
          <cell r="A28" t="str">
            <v>FS0908</v>
          </cell>
          <cell r="B28" t="str">
            <v>Quanterness</v>
          </cell>
          <cell r="C28" t="str">
            <v>FB0095</v>
          </cell>
          <cell r="D28" t="str">
            <v>Cooke Aquaculture Scotland Ltd</v>
          </cell>
          <cell r="E28" t="str">
            <v>O-2</v>
          </cell>
          <cell r="DP28">
            <v>0</v>
          </cell>
        </row>
        <row r="29">
          <cell r="A29" t="str">
            <v>FS0960</v>
          </cell>
          <cell r="B29" t="str">
            <v>East of Holm Heogland (Burkwell)</v>
          </cell>
          <cell r="C29" t="str">
            <v>FB0095</v>
          </cell>
          <cell r="D29" t="str">
            <v>Cooke Aquaculture Scotland Ltd</v>
          </cell>
          <cell r="E29" t="str">
            <v>S-2</v>
          </cell>
          <cell r="DP29">
            <v>0</v>
          </cell>
        </row>
        <row r="30">
          <cell r="A30" t="str">
            <v>FS0962</v>
          </cell>
          <cell r="B30" t="str">
            <v>South Holm of Heogland</v>
          </cell>
          <cell r="C30" t="str">
            <v>FB0095</v>
          </cell>
          <cell r="D30" t="str">
            <v>Cooke Aquaculture Scotland Ltd</v>
          </cell>
          <cell r="E30" t="str">
            <v>S-2</v>
          </cell>
          <cell r="DP30">
            <v>0</v>
          </cell>
        </row>
        <row r="31">
          <cell r="A31" t="str">
            <v>FS0993</v>
          </cell>
          <cell r="B31" t="str">
            <v>Chalmers Hope</v>
          </cell>
          <cell r="C31" t="str">
            <v>FB0095</v>
          </cell>
          <cell r="D31" t="str">
            <v>Cooke Aquaculture Scotland Ltd</v>
          </cell>
          <cell r="E31" t="str">
            <v>O-3</v>
          </cell>
          <cell r="DP31">
            <v>0</v>
          </cell>
        </row>
        <row r="32">
          <cell r="A32" t="str">
            <v>FS1017</v>
          </cell>
          <cell r="B32" t="str">
            <v>Fara West</v>
          </cell>
          <cell r="C32" t="str">
            <v>FB0095</v>
          </cell>
          <cell r="D32" t="str">
            <v>Cooke Aquaculture Scotland Ltd</v>
          </cell>
          <cell r="E32" t="str">
            <v>O-3</v>
          </cell>
          <cell r="DP32">
            <v>0</v>
          </cell>
        </row>
        <row r="33">
          <cell r="A33" t="str">
            <v>FS1020</v>
          </cell>
          <cell r="B33" t="str">
            <v>Bay of Vady</v>
          </cell>
          <cell r="C33" t="str">
            <v>FB0095</v>
          </cell>
          <cell r="D33" t="str">
            <v>Cooke Aquaculture Scotland Ltd</v>
          </cell>
          <cell r="E33" t="str">
            <v>O-2</v>
          </cell>
          <cell r="DP33">
            <v>0</v>
          </cell>
        </row>
        <row r="34">
          <cell r="A34" t="str">
            <v>FS1043</v>
          </cell>
          <cell r="B34" t="str">
            <v>Ness of Copister</v>
          </cell>
          <cell r="C34" t="str">
            <v>FB0095</v>
          </cell>
          <cell r="D34" t="str">
            <v>Cooke Aquaculture Scotland Ltd</v>
          </cell>
          <cell r="E34" t="str">
            <v>S-4</v>
          </cell>
          <cell r="DP34">
            <v>0</v>
          </cell>
        </row>
        <row r="35">
          <cell r="A35" t="str">
            <v>FS1053</v>
          </cell>
          <cell r="B35" t="str">
            <v>Hogan</v>
          </cell>
          <cell r="C35" t="str">
            <v>FB0095</v>
          </cell>
          <cell r="D35" t="str">
            <v>Cooke Aquaculture Scotland Ltd</v>
          </cell>
          <cell r="E35" t="str">
            <v>S-10</v>
          </cell>
          <cell r="DP35">
            <v>0</v>
          </cell>
        </row>
        <row r="36">
          <cell r="A36" t="str">
            <v>FS1057</v>
          </cell>
          <cell r="B36" t="str">
            <v>Vee Taing</v>
          </cell>
          <cell r="C36" t="str">
            <v>FB0095</v>
          </cell>
          <cell r="D36" t="str">
            <v>Cooke Aquaculture Scotland Ltd</v>
          </cell>
          <cell r="E36" t="str">
            <v>S-2</v>
          </cell>
          <cell r="DP36">
            <v>0</v>
          </cell>
        </row>
        <row r="37">
          <cell r="A37" t="str">
            <v>FS1060</v>
          </cell>
          <cell r="B37" t="str">
            <v>Wick of Garth</v>
          </cell>
          <cell r="C37" t="str">
            <v>FB0095</v>
          </cell>
          <cell r="D37" t="str">
            <v>Cooke Aquaculture Scotland Ltd</v>
          </cell>
          <cell r="E37" t="str">
            <v>S-2</v>
          </cell>
          <cell r="DP37">
            <v>0</v>
          </cell>
        </row>
        <row r="38">
          <cell r="A38" t="str">
            <v>FS1080</v>
          </cell>
          <cell r="B38" t="str">
            <v>Bay of Cleat (North)</v>
          </cell>
          <cell r="C38" t="str">
            <v>FB0095</v>
          </cell>
          <cell r="D38" t="str">
            <v>Cooke Aquaculture Scotland Ltd</v>
          </cell>
          <cell r="E38" t="str">
            <v>O-1</v>
          </cell>
          <cell r="DP38">
            <v>0</v>
          </cell>
        </row>
        <row r="39">
          <cell r="A39" t="str">
            <v>FS1198</v>
          </cell>
          <cell r="B39" t="str">
            <v>South Cava</v>
          </cell>
          <cell r="C39" t="str">
            <v>FB0095</v>
          </cell>
          <cell r="D39" t="str">
            <v>Cooke Aquaculture Scotland Ltd</v>
          </cell>
          <cell r="E39" t="str">
            <v>O-3</v>
          </cell>
          <cell r="DP39">
            <v>0</v>
          </cell>
        </row>
        <row r="40">
          <cell r="A40" t="str">
            <v>FS1209</v>
          </cell>
          <cell r="B40" t="str">
            <v>Ouseness</v>
          </cell>
          <cell r="C40" t="str">
            <v>FB0095</v>
          </cell>
          <cell r="D40" t="str">
            <v>Cooke Aquaculture Scotland Ltd</v>
          </cell>
          <cell r="E40" t="str">
            <v>O-1</v>
          </cell>
          <cell r="DP40">
            <v>0</v>
          </cell>
        </row>
        <row r="41">
          <cell r="A41" t="str">
            <v>FS1210</v>
          </cell>
          <cell r="B41" t="str">
            <v>Vestness</v>
          </cell>
          <cell r="C41" t="str">
            <v>FB0095</v>
          </cell>
          <cell r="D41" t="str">
            <v>Cooke Aquaculture Scotland Ltd</v>
          </cell>
          <cell r="E41" t="str">
            <v>O-1</v>
          </cell>
          <cell r="DP41">
            <v>0</v>
          </cell>
        </row>
        <row r="42">
          <cell r="A42" t="str">
            <v>FS1275</v>
          </cell>
          <cell r="B42" t="str">
            <v>Flaeshins</v>
          </cell>
          <cell r="C42" t="str">
            <v>FB0095</v>
          </cell>
          <cell r="D42" t="str">
            <v>Cooke Aquaculture Scotland Ltd</v>
          </cell>
          <cell r="E42" t="str">
            <v>S-3</v>
          </cell>
          <cell r="DP42">
            <v>0</v>
          </cell>
        </row>
        <row r="43">
          <cell r="A43" t="str">
            <v>FS1279</v>
          </cell>
          <cell r="B43" t="str">
            <v>Bastaness</v>
          </cell>
          <cell r="C43" t="str">
            <v>FB0095</v>
          </cell>
          <cell r="D43" t="str">
            <v>Cooke Aquaculture Scotland Ltd</v>
          </cell>
          <cell r="E43" t="str">
            <v>S-3</v>
          </cell>
          <cell r="DP43">
            <v>0</v>
          </cell>
        </row>
        <row r="44">
          <cell r="A44" t="str">
            <v>FS0015</v>
          </cell>
          <cell r="B44" t="str">
            <v>Loch Greshornish</v>
          </cell>
          <cell r="C44" t="str">
            <v>FB0119</v>
          </cell>
          <cell r="D44" t="str">
            <v>Marine Harvest (Scotland) Ltd</v>
          </cell>
          <cell r="E44" t="str">
            <v>M-24</v>
          </cell>
          <cell r="DP44">
            <v>0</v>
          </cell>
        </row>
        <row r="45">
          <cell r="A45" t="str">
            <v>FS0016</v>
          </cell>
          <cell r="B45" t="str">
            <v>Loch Alsh (Sron)</v>
          </cell>
          <cell r="C45" t="str">
            <v>FB0119</v>
          </cell>
          <cell r="D45" t="str">
            <v>Marine Harvest (Scotland) Ltd</v>
          </cell>
          <cell r="E45" t="str">
            <v>M-21</v>
          </cell>
          <cell r="DP45">
            <v>0</v>
          </cell>
        </row>
        <row r="46">
          <cell r="A46" t="str">
            <v>FS0212</v>
          </cell>
          <cell r="B46" t="str">
            <v>Invasion Bay</v>
          </cell>
          <cell r="C46" t="str">
            <v>FB0119</v>
          </cell>
          <cell r="D46" t="str">
            <v>Marine Harvest (Scotland) Ltd</v>
          </cell>
          <cell r="E46" t="str">
            <v>M-34</v>
          </cell>
          <cell r="DP46">
            <v>0</v>
          </cell>
        </row>
        <row r="47">
          <cell r="A47" t="str">
            <v>FS0234</v>
          </cell>
          <cell r="B47" t="str">
            <v>Torridon</v>
          </cell>
          <cell r="C47" t="str">
            <v>FB0119</v>
          </cell>
          <cell r="D47" t="str">
            <v>Marine Harvest (Scotland) Ltd</v>
          </cell>
          <cell r="E47" t="str">
            <v>M-17</v>
          </cell>
          <cell r="DP47">
            <v>0</v>
          </cell>
        </row>
        <row r="48">
          <cell r="A48" t="str">
            <v>FS0237</v>
          </cell>
          <cell r="B48" t="str">
            <v>Gorsten</v>
          </cell>
          <cell r="C48" t="str">
            <v>FB0119</v>
          </cell>
          <cell r="D48" t="str">
            <v>Marine Harvest (Scotland) Ltd</v>
          </cell>
          <cell r="E48" t="str">
            <v>M-33</v>
          </cell>
          <cell r="DP48">
            <v>0</v>
          </cell>
        </row>
        <row r="49">
          <cell r="A49" t="str">
            <v>FS0240</v>
          </cell>
          <cell r="B49" t="str">
            <v>Linnhe</v>
          </cell>
          <cell r="C49" t="str">
            <v>FB0119</v>
          </cell>
          <cell r="D49" t="str">
            <v>Marine Harvest (Scotland) Ltd</v>
          </cell>
          <cell r="E49" t="str">
            <v>M-33</v>
          </cell>
          <cell r="DP49">
            <v>0</v>
          </cell>
        </row>
        <row r="50">
          <cell r="A50" t="str">
            <v>FS0241</v>
          </cell>
          <cell r="B50" t="str">
            <v>Kingairloch</v>
          </cell>
          <cell r="C50" t="str">
            <v>FB0119</v>
          </cell>
          <cell r="D50" t="str">
            <v>Marine Harvest (Scotland) Ltd</v>
          </cell>
          <cell r="E50" t="str">
            <v>M-36</v>
          </cell>
          <cell r="DP50">
            <v>0</v>
          </cell>
        </row>
        <row r="51">
          <cell r="A51" t="str">
            <v>FS0244</v>
          </cell>
          <cell r="B51" t="str">
            <v>Loch Leven (1)</v>
          </cell>
          <cell r="C51" t="str">
            <v>FB0119</v>
          </cell>
          <cell r="D51" t="str">
            <v>Marine Harvest (Scotland) Ltd</v>
          </cell>
          <cell r="E51" t="str">
            <v>M-33</v>
          </cell>
          <cell r="DP51">
            <v>0</v>
          </cell>
        </row>
        <row r="52">
          <cell r="A52" t="str">
            <v>FS0245</v>
          </cell>
          <cell r="B52" t="str">
            <v>Ardintoul</v>
          </cell>
          <cell r="C52" t="str">
            <v>FB0119</v>
          </cell>
          <cell r="D52" t="str">
            <v>Marine Harvest (Scotland) Ltd</v>
          </cell>
          <cell r="E52" t="str">
            <v>M-21</v>
          </cell>
          <cell r="DP52">
            <v>0</v>
          </cell>
        </row>
        <row r="53">
          <cell r="A53" t="str">
            <v>FS0247</v>
          </cell>
          <cell r="B53" t="str">
            <v>Loch Harport</v>
          </cell>
          <cell r="C53" t="str">
            <v>FB0119</v>
          </cell>
          <cell r="D53" t="str">
            <v>Marine Harvest (Scotland) Ltd</v>
          </cell>
          <cell r="E53" t="str">
            <v>M-27</v>
          </cell>
          <cell r="DP53">
            <v>0</v>
          </cell>
        </row>
        <row r="54">
          <cell r="A54" t="str">
            <v>FS0248</v>
          </cell>
          <cell r="B54" t="str">
            <v>Loch Duich</v>
          </cell>
          <cell r="C54" t="str">
            <v>FB0119</v>
          </cell>
          <cell r="D54" t="str">
            <v>Marine Harvest (Scotland) Ltd</v>
          </cell>
          <cell r="E54" t="str">
            <v>M-21</v>
          </cell>
          <cell r="DP54">
            <v>0</v>
          </cell>
        </row>
        <row r="55">
          <cell r="A55" t="str">
            <v>FS0249</v>
          </cell>
          <cell r="B55" t="str">
            <v>Ardnish</v>
          </cell>
          <cell r="C55" t="str">
            <v>FB0119</v>
          </cell>
          <cell r="D55" t="str">
            <v>Marine Harvest (Scotland) Ltd</v>
          </cell>
          <cell r="E55" t="str">
            <v>M-31</v>
          </cell>
          <cell r="DP55">
            <v>0</v>
          </cell>
        </row>
        <row r="56">
          <cell r="A56" t="str">
            <v>FS0252</v>
          </cell>
          <cell r="B56" t="str">
            <v>Cairidh</v>
          </cell>
          <cell r="C56" t="str">
            <v>FB0119</v>
          </cell>
          <cell r="D56" t="str">
            <v>Marine Harvest (Scotland) Ltd</v>
          </cell>
          <cell r="E56" t="str">
            <v>M-28</v>
          </cell>
          <cell r="DP56">
            <v>0</v>
          </cell>
        </row>
        <row r="57">
          <cell r="A57" t="str">
            <v>FS0356</v>
          </cell>
          <cell r="B57" t="str">
            <v>North Moine</v>
          </cell>
          <cell r="C57" t="str">
            <v>FB0119</v>
          </cell>
          <cell r="D57" t="str">
            <v>Marine Harvest (Scotland) Ltd</v>
          </cell>
          <cell r="E57" t="str">
            <v>M-40</v>
          </cell>
          <cell r="DP57">
            <v>0</v>
          </cell>
        </row>
        <row r="58">
          <cell r="A58" t="str">
            <v>FS0413</v>
          </cell>
          <cell r="B58" t="str">
            <v>Camas Glas</v>
          </cell>
          <cell r="C58" t="str">
            <v>FB0119</v>
          </cell>
          <cell r="D58" t="str">
            <v>Marine Harvest (Scotland) Ltd</v>
          </cell>
          <cell r="E58" t="str">
            <v>M-34</v>
          </cell>
          <cell r="DP58">
            <v>0</v>
          </cell>
        </row>
        <row r="59">
          <cell r="A59" t="str">
            <v>FS0464</v>
          </cell>
          <cell r="B59" t="str">
            <v>Ardmaddy</v>
          </cell>
          <cell r="C59" t="str">
            <v>FB0119</v>
          </cell>
          <cell r="D59" t="str">
            <v>Marine Harvest (Scotland) Ltd</v>
          </cell>
          <cell r="E59" t="str">
            <v>M-40</v>
          </cell>
          <cell r="DP59">
            <v>0</v>
          </cell>
        </row>
        <row r="60">
          <cell r="A60" t="str">
            <v>FS0480</v>
          </cell>
          <cell r="B60" t="str">
            <v>Vaccasay</v>
          </cell>
          <cell r="C60" t="str">
            <v>FB0119</v>
          </cell>
          <cell r="D60" t="str">
            <v>Marine Harvest (Scotland) Ltd</v>
          </cell>
          <cell r="E60" t="str">
            <v>W-11</v>
          </cell>
          <cell r="DP60">
            <v>0</v>
          </cell>
        </row>
        <row r="61">
          <cell r="A61" t="str">
            <v>FS0502</v>
          </cell>
          <cell r="B61" t="str">
            <v>Scotasay</v>
          </cell>
          <cell r="C61" t="str">
            <v>FB0119</v>
          </cell>
          <cell r="D61" t="str">
            <v>Marine Harvest (Scotland) Ltd</v>
          </cell>
          <cell r="E61" t="str">
            <v>W-8</v>
          </cell>
          <cell r="DP61">
            <v>0</v>
          </cell>
        </row>
        <row r="62">
          <cell r="A62" t="str">
            <v>FS0519</v>
          </cell>
          <cell r="B62" t="str">
            <v>Maol Ban</v>
          </cell>
          <cell r="C62" t="str">
            <v>FB0119</v>
          </cell>
          <cell r="D62" t="str">
            <v>Marine Harvest (Scotland) Ltd</v>
          </cell>
          <cell r="E62" t="str">
            <v>M-28</v>
          </cell>
          <cell r="DP62">
            <v>0</v>
          </cell>
        </row>
        <row r="63">
          <cell r="A63" t="str">
            <v>FS0531</v>
          </cell>
          <cell r="B63" t="str">
            <v>Ornish Island</v>
          </cell>
          <cell r="C63" t="str">
            <v>FB0119</v>
          </cell>
          <cell r="D63" t="str">
            <v>Marine Harvest (Scotland) Ltd</v>
          </cell>
          <cell r="E63" t="str">
            <v>W-18</v>
          </cell>
          <cell r="DP63">
            <v>0</v>
          </cell>
        </row>
        <row r="64">
          <cell r="A64" t="str">
            <v>FS0599</v>
          </cell>
          <cell r="B64" t="str">
            <v>MacLean's Nose</v>
          </cell>
          <cell r="C64" t="str">
            <v>FB0119</v>
          </cell>
          <cell r="D64" t="str">
            <v>Marine Harvest (Scotland) Ltd</v>
          </cell>
          <cell r="E64" t="str">
            <v>M-34</v>
          </cell>
          <cell r="DP64">
            <v>0</v>
          </cell>
        </row>
        <row r="65">
          <cell r="A65" t="str">
            <v>FS0602</v>
          </cell>
          <cell r="B65" t="str">
            <v>Sconser</v>
          </cell>
          <cell r="C65" t="str">
            <v>FB0119</v>
          </cell>
          <cell r="D65" t="str">
            <v>Marine Harvest (Scotland) Ltd</v>
          </cell>
          <cell r="E65" t="str">
            <v>M-28</v>
          </cell>
          <cell r="DP65">
            <v>0</v>
          </cell>
        </row>
        <row r="66">
          <cell r="A66" t="str">
            <v>FS0605</v>
          </cell>
          <cell r="B66" t="str">
            <v>Creag an T'Sagairt (Loch Hourn)</v>
          </cell>
          <cell r="C66" t="str">
            <v>FB0119</v>
          </cell>
          <cell r="D66" t="str">
            <v>Marine Harvest (Scotland) Ltd</v>
          </cell>
          <cell r="E66" t="str">
            <v>M-22</v>
          </cell>
          <cell r="DP66">
            <v>0</v>
          </cell>
        </row>
        <row r="67">
          <cell r="A67" t="str">
            <v>FS0629</v>
          </cell>
          <cell r="B67" t="str">
            <v>Poll Na Gille</v>
          </cell>
          <cell r="C67" t="str">
            <v>FB0119</v>
          </cell>
          <cell r="D67" t="str">
            <v>Marine Harvest (Scotland) Ltd</v>
          </cell>
          <cell r="E67" t="str">
            <v>M-40</v>
          </cell>
          <cell r="DP67">
            <v>0</v>
          </cell>
        </row>
        <row r="68">
          <cell r="A68" t="str">
            <v>FS0646</v>
          </cell>
          <cell r="B68" t="str">
            <v>Soay</v>
          </cell>
          <cell r="C68" t="str">
            <v>FB0119</v>
          </cell>
          <cell r="D68" t="str">
            <v>Marine Harvest (Scotland) Ltd</v>
          </cell>
          <cell r="E68" t="str">
            <v>W-7</v>
          </cell>
          <cell r="DP68">
            <v>0</v>
          </cell>
        </row>
        <row r="69">
          <cell r="A69" t="str">
            <v>FS0805</v>
          </cell>
          <cell r="B69" t="str">
            <v>Bagh Dail Nan Cean</v>
          </cell>
          <cell r="C69" t="str">
            <v>FB0119</v>
          </cell>
          <cell r="D69" t="str">
            <v>Marine Harvest (Scotland) Ltd</v>
          </cell>
          <cell r="E69" t="str">
            <v>M-40</v>
          </cell>
          <cell r="DP69">
            <v>0</v>
          </cell>
        </row>
        <row r="70">
          <cell r="A70" t="str">
            <v>FS0817</v>
          </cell>
          <cell r="B70" t="str">
            <v>Ob Meavag</v>
          </cell>
          <cell r="C70" t="str">
            <v>FB0119</v>
          </cell>
          <cell r="D70" t="str">
            <v>Marine Harvest (Scotland) Ltd</v>
          </cell>
          <cell r="E70" t="str">
            <v>W-8</v>
          </cell>
          <cell r="DP70">
            <v>0</v>
          </cell>
        </row>
        <row r="71">
          <cell r="A71" t="str">
            <v>FS0841</v>
          </cell>
          <cell r="B71" t="str">
            <v>Loch Boisdale (An Camus Calvay)</v>
          </cell>
          <cell r="C71" t="str">
            <v>FB0119</v>
          </cell>
          <cell r="D71" t="str">
            <v>Marine Harvest (Scotland) Ltd</v>
          </cell>
          <cell r="E71" t="str">
            <v>W-20</v>
          </cell>
          <cell r="DP71">
            <v>0</v>
          </cell>
        </row>
        <row r="72">
          <cell r="A72" t="str">
            <v>FS0859</v>
          </cell>
          <cell r="B72" t="str">
            <v>Port Na Cro</v>
          </cell>
          <cell r="C72" t="str">
            <v>FB0119</v>
          </cell>
          <cell r="D72" t="str">
            <v>Marine Harvest (Scotland) Ltd</v>
          </cell>
          <cell r="E72" t="str">
            <v>M-40</v>
          </cell>
          <cell r="DP72">
            <v>0</v>
          </cell>
        </row>
        <row r="73">
          <cell r="A73" t="str">
            <v>FS0865</v>
          </cell>
          <cell r="B73" t="str">
            <v>Marulaig Bay</v>
          </cell>
          <cell r="C73" t="str">
            <v>FB0119</v>
          </cell>
          <cell r="D73" t="str">
            <v>Marine Harvest (Scotland) Ltd</v>
          </cell>
          <cell r="E73" t="str">
            <v>W-20</v>
          </cell>
          <cell r="DP73">
            <v>0</v>
          </cell>
        </row>
        <row r="74">
          <cell r="A74" t="str">
            <v>FS1033</v>
          </cell>
          <cell r="B74" t="str">
            <v>North Shore</v>
          </cell>
          <cell r="C74" t="str">
            <v>FB0119</v>
          </cell>
          <cell r="D74" t="str">
            <v>Marine Harvest (Scotland) Ltd</v>
          </cell>
          <cell r="E74" t="str">
            <v>W-3</v>
          </cell>
          <cell r="DP74">
            <v>0</v>
          </cell>
        </row>
        <row r="75">
          <cell r="A75" t="str">
            <v>FS1042</v>
          </cell>
          <cell r="B75" t="str">
            <v>Seaforth</v>
          </cell>
          <cell r="C75" t="str">
            <v>FB0119</v>
          </cell>
          <cell r="D75" t="str">
            <v>Marine Harvest (Scotland) Ltd</v>
          </cell>
          <cell r="E75" t="str">
            <v>W-6</v>
          </cell>
          <cell r="DP75">
            <v>0</v>
          </cell>
        </row>
        <row r="76">
          <cell r="A76" t="str">
            <v>FS1046</v>
          </cell>
          <cell r="B76" t="str">
            <v>Larval Rearing Unit</v>
          </cell>
          <cell r="C76" t="str">
            <v>FB0119</v>
          </cell>
          <cell r="D76" t="str">
            <v>Marine Harvest (Scotland) Ltd</v>
          </cell>
          <cell r="E76" t="str">
            <v>M-49</v>
          </cell>
          <cell r="DP76">
            <v>0</v>
          </cell>
        </row>
        <row r="77">
          <cell r="A77" t="str">
            <v>FS1083</v>
          </cell>
          <cell r="B77" t="str">
            <v>Groatay</v>
          </cell>
          <cell r="C77" t="str">
            <v>FB0119</v>
          </cell>
          <cell r="D77" t="str">
            <v>Marine Harvest (Scotland) Ltd</v>
          </cell>
          <cell r="E77" t="str">
            <v>W-11</v>
          </cell>
          <cell r="DP77">
            <v>0</v>
          </cell>
        </row>
        <row r="78">
          <cell r="A78" t="str">
            <v>FS1084</v>
          </cell>
          <cell r="B78" t="str">
            <v>Isle Ewe</v>
          </cell>
          <cell r="C78" t="str">
            <v>FB0119</v>
          </cell>
          <cell r="D78" t="str">
            <v>Marine Harvest (Scotland) Ltd</v>
          </cell>
          <cell r="E78" t="str">
            <v>M-15</v>
          </cell>
          <cell r="DP78">
            <v>0</v>
          </cell>
        </row>
        <row r="79">
          <cell r="A79" t="str">
            <v>FS1094</v>
          </cell>
          <cell r="B79" t="str">
            <v>Glencripesdale</v>
          </cell>
          <cell r="C79" t="str">
            <v>FB0119</v>
          </cell>
          <cell r="D79" t="str">
            <v>Marine Harvest (Scotland) Ltd</v>
          </cell>
          <cell r="E79" t="str">
            <v>M-34</v>
          </cell>
          <cell r="DP79">
            <v>0</v>
          </cell>
        </row>
        <row r="80">
          <cell r="A80" t="str">
            <v>FS1122</v>
          </cell>
          <cell r="B80" t="str">
            <v>Grey Horse Channel</v>
          </cell>
          <cell r="C80" t="str">
            <v>FB0119</v>
          </cell>
          <cell r="D80" t="str">
            <v>Marine Harvest (Scotland) Ltd</v>
          </cell>
          <cell r="E80" t="str">
            <v>W-11</v>
          </cell>
          <cell r="DP80">
            <v>0</v>
          </cell>
        </row>
        <row r="81">
          <cell r="A81" t="str">
            <v>FS1176</v>
          </cell>
          <cell r="B81" t="str">
            <v>Eilean Grianain</v>
          </cell>
          <cell r="C81" t="str">
            <v>FB0119</v>
          </cell>
          <cell r="D81" t="str">
            <v>Marine Harvest (Scotland) Ltd</v>
          </cell>
          <cell r="E81" t="str">
            <v>M-47</v>
          </cell>
          <cell r="DP81">
            <v>0</v>
          </cell>
        </row>
        <row r="82">
          <cell r="A82" t="str">
            <v>FS1259</v>
          </cell>
          <cell r="B82" t="str">
            <v>Stulaigh</v>
          </cell>
          <cell r="C82" t="str">
            <v>FB0119</v>
          </cell>
          <cell r="D82" t="str">
            <v>Marine Harvest (Scotland) Ltd</v>
          </cell>
          <cell r="E82" t="str">
            <v>None</v>
          </cell>
          <cell r="DP82">
            <v>0</v>
          </cell>
        </row>
        <row r="83">
          <cell r="A83" t="str">
            <v>FS1261</v>
          </cell>
          <cell r="B83" t="str">
            <v>Hellisay</v>
          </cell>
          <cell r="C83" t="str">
            <v>FB0119</v>
          </cell>
          <cell r="D83" t="str">
            <v>Marine Harvest (Scotland) Ltd</v>
          </cell>
          <cell r="E83" t="str">
            <v>W-21</v>
          </cell>
          <cell r="DP83">
            <v>0</v>
          </cell>
        </row>
        <row r="84">
          <cell r="A84" t="str">
            <v>FS1263</v>
          </cell>
          <cell r="B84" t="str">
            <v>Raineach</v>
          </cell>
          <cell r="C84" t="str">
            <v>FB0119</v>
          </cell>
          <cell r="D84" t="str">
            <v>Marine Harvest (Scotland) Ltd</v>
          </cell>
          <cell r="E84" t="str">
            <v>W-8</v>
          </cell>
          <cell r="DP84">
            <v>0</v>
          </cell>
        </row>
        <row r="85">
          <cell r="A85" t="str">
            <v>FS1286</v>
          </cell>
          <cell r="B85" t="str">
            <v>Muck</v>
          </cell>
          <cell r="C85" t="str">
            <v>FB0119</v>
          </cell>
          <cell r="D85" t="str">
            <v>Marine Harvest (Scotland) Ltd</v>
          </cell>
          <cell r="E85" t="str">
            <v>None</v>
          </cell>
          <cell r="DP85">
            <v>0</v>
          </cell>
        </row>
        <row r="86">
          <cell r="A86" t="str">
            <v>FS1291</v>
          </cell>
          <cell r="B86" t="str">
            <v>Caolas A Deas</v>
          </cell>
          <cell r="C86" t="str">
            <v>FB0119</v>
          </cell>
          <cell r="D86" t="str">
            <v>Marine Harvest (Scotland) Ltd</v>
          </cell>
          <cell r="E86" t="str">
            <v>W-5</v>
          </cell>
          <cell r="DP86">
            <v>0</v>
          </cell>
        </row>
        <row r="87">
          <cell r="A87" t="str">
            <v>FS1296</v>
          </cell>
          <cell r="B87" t="str">
            <v>Colonsay</v>
          </cell>
          <cell r="C87" t="str">
            <v>FB0119</v>
          </cell>
          <cell r="D87" t="str">
            <v>Marine Harvest (Scotland) Ltd</v>
          </cell>
          <cell r="E87" t="str">
            <v>None</v>
          </cell>
          <cell r="DP87">
            <v>0</v>
          </cell>
        </row>
        <row r="88">
          <cell r="A88" t="str">
            <v>FS1297</v>
          </cell>
          <cell r="B88" t="str">
            <v>Tabhaigh</v>
          </cell>
          <cell r="C88" t="str">
            <v>FB0119</v>
          </cell>
          <cell r="D88" t="str">
            <v>Marine Harvest (Scotland) Ltd</v>
          </cell>
          <cell r="E88" t="str">
            <v>W-3</v>
          </cell>
          <cell r="DP88">
            <v>0</v>
          </cell>
        </row>
        <row r="89">
          <cell r="A89" t="str">
            <v>FS0818</v>
          </cell>
          <cell r="B89" t="str">
            <v>Ardcastle Bay</v>
          </cell>
          <cell r="C89" t="str">
            <v>FB0169</v>
          </cell>
          <cell r="D89" t="str">
            <v>The Scottish Salmon Company</v>
          </cell>
          <cell r="E89" t="str">
            <v>M-42</v>
          </cell>
          <cell r="CU89">
            <v>8</v>
          </cell>
          <cell r="CX89">
            <v>8</v>
          </cell>
          <cell r="CZ89" t="str">
            <v>Hydro-flusher used</v>
          </cell>
          <cell r="DA89">
            <v>5.23</v>
          </cell>
          <cell r="DD89">
            <v>5.9</v>
          </cell>
          <cell r="DG89">
            <v>9.8699999999999992</v>
          </cell>
          <cell r="DI89" t="str">
            <v>Hydro-flusher to be used on 18/12/16</v>
          </cell>
          <cell r="DJ89">
            <v>9.06</v>
          </cell>
          <cell r="DL89" t="str">
            <v>hydrolyser</v>
          </cell>
          <cell r="DM89">
            <v>3</v>
          </cell>
          <cell r="DP89">
            <v>1</v>
          </cell>
        </row>
        <row r="90">
          <cell r="A90" t="str">
            <v>FS0039</v>
          </cell>
          <cell r="B90" t="str">
            <v>Pobie Sukka</v>
          </cell>
          <cell r="C90" t="str">
            <v>FB0125</v>
          </cell>
          <cell r="D90" t="str">
            <v>Scottish Sea Farms Ltd</v>
          </cell>
          <cell r="E90" t="str">
            <v>S-7</v>
          </cell>
          <cell r="DP90">
            <v>0</v>
          </cell>
        </row>
        <row r="91">
          <cell r="A91" t="str">
            <v>FS0183</v>
          </cell>
          <cell r="B91" t="str">
            <v>South Sound</v>
          </cell>
          <cell r="C91" t="str">
            <v>FB0125</v>
          </cell>
          <cell r="D91" t="str">
            <v>Scottish Sea Farms Ltd</v>
          </cell>
          <cell r="E91" t="str">
            <v>S-8a</v>
          </cell>
          <cell r="DP91">
            <v>0</v>
          </cell>
        </row>
        <row r="92">
          <cell r="A92" t="str">
            <v>FS0209</v>
          </cell>
          <cell r="B92" t="str">
            <v>Scallastle</v>
          </cell>
          <cell r="C92" t="str">
            <v>FB0125</v>
          </cell>
          <cell r="D92" t="str">
            <v>Scottish Sea Farms Ltd</v>
          </cell>
          <cell r="E92" t="str">
            <v>M-35</v>
          </cell>
          <cell r="DP92">
            <v>0</v>
          </cell>
        </row>
        <row r="93">
          <cell r="A93" t="str">
            <v>FS0213</v>
          </cell>
          <cell r="B93" t="str">
            <v>Crooie</v>
          </cell>
          <cell r="C93" t="str">
            <v>FB0125</v>
          </cell>
          <cell r="D93" t="str">
            <v>Scottish Sea Farms Ltd</v>
          </cell>
          <cell r="E93" t="str">
            <v>S-11</v>
          </cell>
          <cell r="DP93">
            <v>0</v>
          </cell>
        </row>
        <row r="94">
          <cell r="A94" t="str">
            <v>FS0228</v>
          </cell>
          <cell r="B94" t="str">
            <v>Selivoe (High Banks)</v>
          </cell>
          <cell r="C94" t="str">
            <v>FB0125</v>
          </cell>
          <cell r="D94" t="str">
            <v>Scottish Sea Farms Ltd</v>
          </cell>
          <cell r="E94" t="str">
            <v>S-11</v>
          </cell>
          <cell r="DP94">
            <v>0</v>
          </cell>
        </row>
        <row r="95">
          <cell r="A95" t="str">
            <v>FS0230</v>
          </cell>
          <cell r="B95" t="str">
            <v>Brunaness</v>
          </cell>
          <cell r="C95" t="str">
            <v>FB0125</v>
          </cell>
          <cell r="D95" t="str">
            <v>Scottish Sea Farms Ltd</v>
          </cell>
          <cell r="E95" t="str">
            <v>S-11</v>
          </cell>
          <cell r="DP95">
            <v>0</v>
          </cell>
        </row>
        <row r="96">
          <cell r="A96" t="str">
            <v>FS0253</v>
          </cell>
          <cell r="B96" t="str">
            <v>Loch Spelve (B)</v>
          </cell>
          <cell r="C96" t="str">
            <v>FB0125</v>
          </cell>
          <cell r="D96" t="str">
            <v>Scottish Sea Farms Ltd</v>
          </cell>
          <cell r="E96" t="str">
            <v>M-39</v>
          </cell>
          <cell r="DP96">
            <v>0</v>
          </cell>
        </row>
        <row r="97">
          <cell r="A97" t="str">
            <v>FS0299</v>
          </cell>
          <cell r="B97" t="str">
            <v>Dunstaffnage</v>
          </cell>
          <cell r="C97" t="str">
            <v>FB0125</v>
          </cell>
          <cell r="D97" t="str">
            <v>Scottish Sea Farms Ltd</v>
          </cell>
          <cell r="E97" t="str">
            <v>M-36</v>
          </cell>
          <cell r="DP97">
            <v>0</v>
          </cell>
        </row>
        <row r="98">
          <cell r="A98" t="str">
            <v>FS0359</v>
          </cell>
          <cell r="B98" t="str">
            <v>Kempie Bay</v>
          </cell>
          <cell r="C98" t="str">
            <v>FB0125</v>
          </cell>
          <cell r="D98" t="str">
            <v>Scottish Sea Farms Ltd</v>
          </cell>
          <cell r="E98" t="str">
            <v>M-1</v>
          </cell>
          <cell r="DP98">
            <v>0</v>
          </cell>
        </row>
        <row r="99">
          <cell r="A99" t="str">
            <v>FS0361</v>
          </cell>
          <cell r="B99" t="str">
            <v>Sian Bay</v>
          </cell>
          <cell r="C99" t="str">
            <v>FB0125</v>
          </cell>
          <cell r="D99" t="str">
            <v>Scottish Sea Farms Ltd</v>
          </cell>
          <cell r="E99" t="str">
            <v>M-1</v>
          </cell>
          <cell r="DP99">
            <v>0</v>
          </cell>
        </row>
        <row r="100">
          <cell r="A100" t="str">
            <v>FS0400</v>
          </cell>
          <cell r="B100" t="str">
            <v>Snaraness</v>
          </cell>
          <cell r="C100" t="str">
            <v>FB0125</v>
          </cell>
          <cell r="D100" t="str">
            <v>Scottish Sea Farms Ltd</v>
          </cell>
          <cell r="E100" t="str">
            <v>S-8b</v>
          </cell>
          <cell r="DP100">
            <v>0</v>
          </cell>
        </row>
        <row r="101">
          <cell r="A101" t="str">
            <v>FS0426</v>
          </cell>
          <cell r="B101" t="str">
            <v>Loch Creran (B)</v>
          </cell>
          <cell r="C101" t="str">
            <v>FB0125</v>
          </cell>
          <cell r="D101" t="str">
            <v>Scottish Sea Farms Ltd</v>
          </cell>
          <cell r="E101" t="str">
            <v>M-36</v>
          </cell>
          <cell r="DP101">
            <v>0</v>
          </cell>
        </row>
        <row r="102">
          <cell r="A102" t="str">
            <v>FS0427</v>
          </cell>
          <cell r="B102" t="str">
            <v>Fishnish (A)</v>
          </cell>
          <cell r="C102" t="str">
            <v>FB0125</v>
          </cell>
          <cell r="D102" t="str">
            <v>Scottish Sea Farms Ltd</v>
          </cell>
          <cell r="E102" t="str">
            <v>M-35</v>
          </cell>
          <cell r="DP102">
            <v>0</v>
          </cell>
        </row>
        <row r="103">
          <cell r="A103" t="str">
            <v>FS0430</v>
          </cell>
          <cell r="B103" t="str">
            <v>Nevis A</v>
          </cell>
          <cell r="C103" t="str">
            <v>FB0125</v>
          </cell>
          <cell r="D103" t="str">
            <v>Scottish Sea Farms Ltd</v>
          </cell>
          <cell r="E103" t="str">
            <v>M-23</v>
          </cell>
          <cell r="DP103">
            <v>0</v>
          </cell>
        </row>
        <row r="104">
          <cell r="A104" t="str">
            <v>FS0481</v>
          </cell>
          <cell r="B104" t="str">
            <v>North of Hoy</v>
          </cell>
          <cell r="C104" t="str">
            <v>FB0125</v>
          </cell>
          <cell r="D104" t="str">
            <v>Scottish Sea Farms Ltd</v>
          </cell>
          <cell r="E104" t="str">
            <v>S-11</v>
          </cell>
          <cell r="DP104">
            <v>0</v>
          </cell>
        </row>
        <row r="105">
          <cell r="A105" t="str">
            <v>FS0546</v>
          </cell>
          <cell r="B105" t="str">
            <v>Nevis C  (Ardintigh)</v>
          </cell>
          <cell r="C105" t="str">
            <v>FB0125</v>
          </cell>
          <cell r="D105" t="str">
            <v>Scottish Sea Farms Ltd</v>
          </cell>
          <cell r="E105" t="str">
            <v>M-23</v>
          </cell>
          <cell r="DP105">
            <v>0</v>
          </cell>
        </row>
        <row r="106">
          <cell r="A106" t="str">
            <v>FS0549</v>
          </cell>
          <cell r="B106" t="str">
            <v>Tanera</v>
          </cell>
          <cell r="C106" t="str">
            <v>FB0125</v>
          </cell>
          <cell r="D106" t="str">
            <v>Scottish Sea Farms Ltd</v>
          </cell>
          <cell r="E106" t="str">
            <v>M-10</v>
          </cell>
          <cell r="DP106">
            <v>0</v>
          </cell>
        </row>
        <row r="107">
          <cell r="A107" t="str">
            <v>FS0607</v>
          </cell>
          <cell r="B107" t="str">
            <v>Breigeo  (Offshore)</v>
          </cell>
          <cell r="C107" t="str">
            <v>FB0125</v>
          </cell>
          <cell r="D107" t="str">
            <v>Scottish Sea Farms Ltd</v>
          </cell>
          <cell r="E107" t="str">
            <v>S-11</v>
          </cell>
          <cell r="DP107">
            <v>0</v>
          </cell>
        </row>
        <row r="108">
          <cell r="A108" t="str">
            <v>FS0608</v>
          </cell>
          <cell r="B108" t="str">
            <v>Vidlin North</v>
          </cell>
          <cell r="C108" t="str">
            <v>FB0125</v>
          </cell>
          <cell r="D108" t="str">
            <v>Scottish Sea Farms Ltd</v>
          </cell>
          <cell r="E108" t="str">
            <v>S-5</v>
          </cell>
          <cell r="DP108">
            <v>0</v>
          </cell>
        </row>
        <row r="109">
          <cell r="A109" t="str">
            <v>FS1019</v>
          </cell>
          <cell r="B109" t="str">
            <v>Strondoir Bay</v>
          </cell>
          <cell r="C109" t="str">
            <v>FB0169</v>
          </cell>
          <cell r="D109" t="str">
            <v>The Scottish Salmon Company</v>
          </cell>
          <cell r="E109" t="str">
            <v>M-42</v>
          </cell>
          <cell r="CU109">
            <v>5.95</v>
          </cell>
          <cell r="CX109">
            <v>13.33</v>
          </cell>
          <cell r="DA109">
            <v>17.27</v>
          </cell>
          <cell r="DC109" t="str">
            <v>Hydro-flusher used</v>
          </cell>
          <cell r="DD109">
            <v>8.92</v>
          </cell>
          <cell r="DF109" t="str">
            <v>Hydro-flusher to be used</v>
          </cell>
          <cell r="DG109">
            <v>4.4800000000000004</v>
          </cell>
          <cell r="DI109" t="str">
            <v>Hydrolyser used</v>
          </cell>
          <cell r="DJ109">
            <v>2.62</v>
          </cell>
          <cell r="DM109">
            <v>2.96</v>
          </cell>
          <cell r="DP109">
            <v>0</v>
          </cell>
        </row>
        <row r="110">
          <cell r="A110" t="str">
            <v>FS0634</v>
          </cell>
          <cell r="B110" t="str">
            <v>Loch Spelve (A)</v>
          </cell>
          <cell r="C110" t="str">
            <v>FB0125</v>
          </cell>
          <cell r="D110" t="str">
            <v>Scottish Sea Farms Ltd</v>
          </cell>
          <cell r="E110" t="str">
            <v>M-39</v>
          </cell>
          <cell r="DP110">
            <v>0</v>
          </cell>
        </row>
        <row r="111">
          <cell r="A111" t="str">
            <v>FS0663</v>
          </cell>
          <cell r="B111" t="str">
            <v>Kerrera B</v>
          </cell>
          <cell r="C111" t="str">
            <v>FB0125</v>
          </cell>
          <cell r="D111" t="str">
            <v>Scottish Sea Farms Ltd</v>
          </cell>
          <cell r="E111" t="str">
            <v>M-36</v>
          </cell>
          <cell r="DP111">
            <v>0</v>
          </cell>
        </row>
        <row r="112">
          <cell r="A112" t="str">
            <v>FS0673</v>
          </cell>
          <cell r="B112" t="str">
            <v>East of Hildasay</v>
          </cell>
          <cell r="C112" t="str">
            <v>FB0125</v>
          </cell>
          <cell r="D112" t="str">
            <v>Scottish Sea Farms Ltd</v>
          </cell>
          <cell r="E112" t="str">
            <v>S-11</v>
          </cell>
          <cell r="DP112">
            <v>0</v>
          </cell>
        </row>
        <row r="113">
          <cell r="A113" t="str">
            <v>FS0691</v>
          </cell>
          <cell r="B113" t="str">
            <v>Sound of Hoy</v>
          </cell>
          <cell r="C113" t="str">
            <v>FB0125</v>
          </cell>
          <cell r="D113" t="str">
            <v>Scottish Sea Farms Ltd</v>
          </cell>
          <cell r="E113" t="str">
            <v>S-11</v>
          </cell>
          <cell r="DP113">
            <v>0</v>
          </cell>
        </row>
        <row r="114">
          <cell r="A114" t="str">
            <v>FS0694</v>
          </cell>
          <cell r="B114" t="str">
            <v>Fishnish (B)</v>
          </cell>
          <cell r="C114" t="str">
            <v>FB0125</v>
          </cell>
          <cell r="D114" t="str">
            <v>Scottish Sea Farms Ltd</v>
          </cell>
          <cell r="E114" t="str">
            <v>M-35</v>
          </cell>
          <cell r="DP114">
            <v>0</v>
          </cell>
        </row>
        <row r="115">
          <cell r="A115" t="str">
            <v>FS0695</v>
          </cell>
          <cell r="B115" t="str">
            <v>Shuna</v>
          </cell>
          <cell r="C115" t="str">
            <v>FB0125</v>
          </cell>
          <cell r="D115" t="str">
            <v>Scottish Sea Farms Ltd</v>
          </cell>
          <cell r="E115" t="str">
            <v>M-36</v>
          </cell>
          <cell r="DP115">
            <v>0</v>
          </cell>
        </row>
        <row r="116">
          <cell r="A116" t="str">
            <v>FS0696</v>
          </cell>
          <cell r="B116" t="str">
            <v>Fiunary</v>
          </cell>
          <cell r="C116" t="str">
            <v>FB0125</v>
          </cell>
          <cell r="D116" t="str">
            <v>Scottish Sea Farms Ltd</v>
          </cell>
          <cell r="E116" t="str">
            <v>M-35</v>
          </cell>
          <cell r="DP116">
            <v>0</v>
          </cell>
        </row>
        <row r="117">
          <cell r="A117" t="str">
            <v>FS1256</v>
          </cell>
          <cell r="B117" t="str">
            <v>Plocrapol</v>
          </cell>
          <cell r="C117" t="str">
            <v>FB0169</v>
          </cell>
          <cell r="D117" t="str">
            <v>The Scottish Salmon Company</v>
          </cell>
          <cell r="E117" t="str">
            <v>W-8</v>
          </cell>
          <cell r="CL117">
            <v>2.7</v>
          </cell>
          <cell r="CM117">
            <v>42668</v>
          </cell>
          <cell r="CO117">
            <v>7.9</v>
          </cell>
          <cell r="CP117">
            <v>42678</v>
          </cell>
          <cell r="CR117">
            <v>4.8</v>
          </cell>
          <cell r="CS117">
            <v>42683</v>
          </cell>
          <cell r="CU117">
            <v>8.9</v>
          </cell>
          <cell r="CZ117" t="str">
            <v>Skamic from 17/11</v>
          </cell>
          <cell r="DA117">
            <v>2.6</v>
          </cell>
          <cell r="DB117">
            <v>42702</v>
          </cell>
          <cell r="DC117" t="str">
            <v>4500 cleaner added 2/12/16</v>
          </cell>
          <cell r="DD117">
            <v>2.13</v>
          </cell>
          <cell r="DG117">
            <v>3.17</v>
          </cell>
          <cell r="DH117">
            <v>42721</v>
          </cell>
          <cell r="DJ117" t="str">
            <v>no count</v>
          </cell>
          <cell r="DM117">
            <v>3.86</v>
          </cell>
          <cell r="DO117" t="str">
            <v>Cleaner Fish</v>
          </cell>
          <cell r="DP117">
            <v>0</v>
          </cell>
        </row>
        <row r="118">
          <cell r="A118" t="str">
            <v>FS0709</v>
          </cell>
          <cell r="B118" t="str">
            <v>Kishorn A (South)</v>
          </cell>
          <cell r="C118" t="str">
            <v>FB0125</v>
          </cell>
          <cell r="D118" t="str">
            <v>Scottish Sea Farms Ltd</v>
          </cell>
          <cell r="E118" t="str">
            <v>M-19</v>
          </cell>
          <cell r="DP118">
            <v>0</v>
          </cell>
        </row>
        <row r="119">
          <cell r="A119" t="str">
            <v>FS0745</v>
          </cell>
          <cell r="B119" t="str">
            <v>Lismore North</v>
          </cell>
          <cell r="C119" t="str">
            <v>FB0125</v>
          </cell>
          <cell r="D119" t="str">
            <v>Scottish Sea Farms Ltd</v>
          </cell>
          <cell r="E119" t="str">
            <v>M-36</v>
          </cell>
          <cell r="DP119">
            <v>0</v>
          </cell>
        </row>
        <row r="120">
          <cell r="A120" t="str">
            <v>FS1277</v>
          </cell>
          <cell r="B120" t="str">
            <v>Reibinish</v>
          </cell>
          <cell r="C120" t="str">
            <v>FB0169</v>
          </cell>
          <cell r="D120" t="str">
            <v>The Scottish Salmon Company</v>
          </cell>
          <cell r="E120" t="str">
            <v>W-8</v>
          </cell>
          <cell r="CL120">
            <v>5.8</v>
          </cell>
          <cell r="CM120">
            <v>42671</v>
          </cell>
          <cell r="CO120">
            <v>6.8</v>
          </cell>
          <cell r="CP120">
            <v>42678</v>
          </cell>
          <cell r="CR120">
            <v>6.8</v>
          </cell>
          <cell r="CU120">
            <v>8.4</v>
          </cell>
          <cell r="DA120">
            <v>1.83</v>
          </cell>
          <cell r="DB120">
            <v>42703</v>
          </cell>
          <cell r="DD120">
            <v>2.08</v>
          </cell>
          <cell r="DG120">
            <v>3.06</v>
          </cell>
          <cell r="DH120">
            <v>42721</v>
          </cell>
          <cell r="DJ120" t="str">
            <v>no count</v>
          </cell>
          <cell r="DM120">
            <v>3.4</v>
          </cell>
          <cell r="DP120">
            <v>0</v>
          </cell>
        </row>
        <row r="121">
          <cell r="A121" t="str">
            <v>FS0791</v>
          </cell>
          <cell r="B121" t="str">
            <v>Binnaness</v>
          </cell>
          <cell r="C121" t="str">
            <v>FB0125</v>
          </cell>
          <cell r="D121" t="str">
            <v>Scottish Sea Farms Ltd</v>
          </cell>
          <cell r="E121" t="str">
            <v>S-11</v>
          </cell>
          <cell r="DP121">
            <v>0</v>
          </cell>
        </row>
        <row r="122">
          <cell r="A122" t="str">
            <v>FS0804</v>
          </cell>
          <cell r="B122" t="str">
            <v>Kishorn B (North)</v>
          </cell>
          <cell r="C122" t="str">
            <v>FB0125</v>
          </cell>
          <cell r="D122" t="str">
            <v>Scottish Sea Farms Ltd</v>
          </cell>
          <cell r="E122" t="str">
            <v>M-19</v>
          </cell>
          <cell r="DP122">
            <v>0</v>
          </cell>
        </row>
        <row r="123">
          <cell r="A123" t="str">
            <v>FS0813</v>
          </cell>
          <cell r="B123" t="str">
            <v>Puldrite</v>
          </cell>
          <cell r="C123" t="str">
            <v>FB0125</v>
          </cell>
          <cell r="D123" t="str">
            <v>Scottish Sea Farms Ltd</v>
          </cell>
          <cell r="E123" t="str">
            <v>O-2</v>
          </cell>
          <cell r="DP123">
            <v>0</v>
          </cell>
        </row>
        <row r="124">
          <cell r="A124" t="str">
            <v>FS0823</v>
          </cell>
          <cell r="B124" t="str">
            <v>Noust Geo</v>
          </cell>
          <cell r="C124" t="str">
            <v>FB0125</v>
          </cell>
          <cell r="D124" t="str">
            <v>Scottish Sea Farms Ltd</v>
          </cell>
          <cell r="E124" t="str">
            <v>O-2</v>
          </cell>
          <cell r="DP124">
            <v>0</v>
          </cell>
        </row>
        <row r="125">
          <cell r="A125" t="str">
            <v>FS0850</v>
          </cell>
          <cell r="B125" t="str">
            <v>Lippie Geo</v>
          </cell>
          <cell r="C125" t="str">
            <v>FB0125</v>
          </cell>
          <cell r="D125" t="str">
            <v>Scottish Sea Farms Ltd</v>
          </cell>
          <cell r="E125" t="str">
            <v>S-11</v>
          </cell>
          <cell r="DP125">
            <v>0</v>
          </cell>
        </row>
        <row r="126">
          <cell r="A126" t="str">
            <v>FS0858</v>
          </cell>
          <cell r="B126" t="str">
            <v>Fada</v>
          </cell>
          <cell r="C126" t="str">
            <v>FB0125</v>
          </cell>
          <cell r="D126" t="str">
            <v>Scottish Sea Farms Ltd</v>
          </cell>
          <cell r="E126" t="str">
            <v>M-10</v>
          </cell>
          <cell r="DP126">
            <v>0</v>
          </cell>
        </row>
        <row r="127">
          <cell r="A127" t="str">
            <v>FS0860</v>
          </cell>
          <cell r="B127" t="str">
            <v>Shapinsay</v>
          </cell>
          <cell r="C127" t="str">
            <v>FB0125</v>
          </cell>
          <cell r="D127" t="str">
            <v>Scottish Sea Farms Ltd</v>
          </cell>
          <cell r="E127" t="str">
            <v>O-2</v>
          </cell>
          <cell r="DP127">
            <v>0</v>
          </cell>
        </row>
        <row r="128">
          <cell r="A128" t="str">
            <v>FS0875</v>
          </cell>
          <cell r="B128" t="str">
            <v>Walters (East Lismore)</v>
          </cell>
          <cell r="C128" t="str">
            <v>FB0125</v>
          </cell>
          <cell r="D128" t="str">
            <v>Scottish Sea Farms Ltd</v>
          </cell>
          <cell r="E128" t="str">
            <v>M-36</v>
          </cell>
          <cell r="DP128">
            <v>0</v>
          </cell>
        </row>
        <row r="129">
          <cell r="A129" t="str">
            <v>FS0914</v>
          </cell>
          <cell r="B129" t="str">
            <v>Lismore West</v>
          </cell>
          <cell r="C129" t="str">
            <v>FB0125</v>
          </cell>
          <cell r="D129" t="str">
            <v>Scottish Sea Farms Ltd</v>
          </cell>
          <cell r="E129" t="str">
            <v>M-36</v>
          </cell>
          <cell r="DP129">
            <v>0</v>
          </cell>
        </row>
        <row r="130">
          <cell r="A130" t="str">
            <v>FS0915</v>
          </cell>
          <cell r="B130" t="str">
            <v>Breigeo Inshore</v>
          </cell>
          <cell r="C130" t="str">
            <v>FB0125</v>
          </cell>
          <cell r="D130" t="str">
            <v>Scottish Sea Farms Ltd</v>
          </cell>
          <cell r="E130" t="str">
            <v>S-11</v>
          </cell>
          <cell r="DP130">
            <v>0</v>
          </cell>
        </row>
        <row r="131">
          <cell r="A131" t="str">
            <v>FS0935</v>
          </cell>
          <cell r="B131" t="str">
            <v>Flotta</v>
          </cell>
          <cell r="C131" t="str">
            <v>FB0125</v>
          </cell>
          <cell r="D131" t="str">
            <v>Scottish Sea Farms Ltd</v>
          </cell>
          <cell r="E131" t="str">
            <v>S-11</v>
          </cell>
          <cell r="DP131">
            <v>0</v>
          </cell>
        </row>
        <row r="132">
          <cell r="A132" t="str">
            <v>FS0936</v>
          </cell>
          <cell r="B132" t="str">
            <v>Foreholm</v>
          </cell>
          <cell r="C132" t="str">
            <v>FB0125</v>
          </cell>
          <cell r="D132" t="str">
            <v>Scottish Sea Farms Ltd</v>
          </cell>
          <cell r="E132" t="str">
            <v>S-11</v>
          </cell>
          <cell r="DP132">
            <v>0</v>
          </cell>
        </row>
        <row r="133">
          <cell r="A133" t="str">
            <v>FS0964</v>
          </cell>
          <cell r="B133" t="str">
            <v>Bloody Bay</v>
          </cell>
          <cell r="C133" t="str">
            <v>FB0125</v>
          </cell>
          <cell r="D133" t="str">
            <v>Scottish Sea Farms Ltd</v>
          </cell>
          <cell r="E133" t="str">
            <v>M-34</v>
          </cell>
          <cell r="DP133">
            <v>0</v>
          </cell>
        </row>
        <row r="134">
          <cell r="A134" t="str">
            <v>FS1018</v>
          </cell>
          <cell r="B134" t="str">
            <v>Slocka Ronas Voe</v>
          </cell>
          <cell r="C134" t="str">
            <v>FB0125</v>
          </cell>
          <cell r="D134" t="str">
            <v>Scottish Sea Farms Ltd</v>
          </cell>
          <cell r="E134" t="str">
            <v>S-7</v>
          </cell>
          <cell r="DP134">
            <v>0</v>
          </cell>
        </row>
        <row r="135">
          <cell r="A135" t="str">
            <v>FS1023</v>
          </cell>
          <cell r="B135" t="str">
            <v>Bring Head</v>
          </cell>
          <cell r="C135" t="str">
            <v>FB0125</v>
          </cell>
          <cell r="D135" t="str">
            <v>Scottish Sea Farms Ltd</v>
          </cell>
          <cell r="E135" t="str">
            <v>O-3</v>
          </cell>
          <cell r="DP135">
            <v>0</v>
          </cell>
        </row>
        <row r="136">
          <cell r="A136" t="str">
            <v>FS1024</v>
          </cell>
          <cell r="B136" t="str">
            <v>Toyness</v>
          </cell>
          <cell r="C136" t="str">
            <v>FB0125</v>
          </cell>
          <cell r="D136" t="str">
            <v>Scottish Sea Farms Ltd</v>
          </cell>
          <cell r="E136" t="str">
            <v>O-3</v>
          </cell>
          <cell r="DP136">
            <v>0</v>
          </cell>
        </row>
        <row r="137">
          <cell r="A137" t="str">
            <v>FS1047</v>
          </cell>
          <cell r="B137" t="str">
            <v>Loch Creran (D)</v>
          </cell>
          <cell r="C137" t="str">
            <v>FB0125</v>
          </cell>
          <cell r="D137" t="str">
            <v>Scottish Sea Farms Ltd</v>
          </cell>
          <cell r="E137" t="str">
            <v>M-36</v>
          </cell>
          <cell r="DP137">
            <v>0</v>
          </cell>
        </row>
        <row r="138">
          <cell r="A138" t="str">
            <v>FS1058</v>
          </cell>
          <cell r="B138" t="str">
            <v>Inner Mangaster</v>
          </cell>
          <cell r="C138" t="str">
            <v>FB0125</v>
          </cell>
          <cell r="D138" t="str">
            <v>Scottish Sea Farms Ltd</v>
          </cell>
          <cell r="E138" t="str">
            <v>S-8a</v>
          </cell>
          <cell r="DP138">
            <v>0</v>
          </cell>
        </row>
        <row r="139">
          <cell r="A139" t="str">
            <v>FS1293</v>
          </cell>
          <cell r="B139" t="str">
            <v>Scadabay</v>
          </cell>
          <cell r="C139" t="str">
            <v>FB0169</v>
          </cell>
          <cell r="D139" t="str">
            <v>The Scottish Salmon Company</v>
          </cell>
          <cell r="E139" t="str">
            <v>W-9</v>
          </cell>
          <cell r="CL139">
            <v>5.2</v>
          </cell>
          <cell r="CM139">
            <v>42668</v>
          </cell>
          <cell r="CO139" t="str">
            <v>no count treating</v>
          </cell>
          <cell r="CR139">
            <v>10.199999999999999</v>
          </cell>
          <cell r="CS139">
            <v>42681</v>
          </cell>
          <cell r="CU139">
            <v>11.6</v>
          </cell>
          <cell r="CX139">
            <v>6.7</v>
          </cell>
          <cell r="CZ139" t="str">
            <v>Skamic from 17/11</v>
          </cell>
          <cell r="DA139">
            <v>2.97</v>
          </cell>
          <cell r="DB139">
            <v>42708</v>
          </cell>
          <cell r="DC139" t="str">
            <v>Cleanerfish input and H2O2</v>
          </cell>
          <cell r="DD139">
            <v>2.95</v>
          </cell>
          <cell r="DG139">
            <v>4.4000000000000004</v>
          </cell>
          <cell r="DI139" t="str">
            <v>H2O2 treatment week 2, 2017</v>
          </cell>
          <cell r="DJ139" t="str">
            <v>no count</v>
          </cell>
          <cell r="DM139">
            <v>2.62</v>
          </cell>
          <cell r="DP139">
            <v>0</v>
          </cell>
        </row>
        <row r="140">
          <cell r="A140" t="str">
            <v>FS1121</v>
          </cell>
          <cell r="B140" t="str">
            <v>Bight of Bellister, Dury Voe</v>
          </cell>
          <cell r="C140" t="str">
            <v>FB0125</v>
          </cell>
          <cell r="D140" t="str">
            <v>Scottish Sea Farms Ltd</v>
          </cell>
          <cell r="E140" t="str">
            <v>S-5</v>
          </cell>
          <cell r="DP140">
            <v>0</v>
          </cell>
        </row>
        <row r="141">
          <cell r="A141" t="str">
            <v>FS1274</v>
          </cell>
          <cell r="B141" t="str">
            <v>Kishorn West</v>
          </cell>
          <cell r="C141" t="str">
            <v>FB0125</v>
          </cell>
          <cell r="D141" t="str">
            <v>Scottish Sea Farms Ltd</v>
          </cell>
          <cell r="E141" t="str">
            <v>M-19</v>
          </cell>
          <cell r="DP141">
            <v>0</v>
          </cell>
        </row>
        <row r="142">
          <cell r="A142" t="str">
            <v>FS1294</v>
          </cell>
          <cell r="B142" t="str">
            <v>Wyre</v>
          </cell>
          <cell r="C142" t="str">
            <v>FB0125</v>
          </cell>
          <cell r="D142" t="str">
            <v>Scottish Sea Farms Ltd</v>
          </cell>
          <cell r="E142" t="str">
            <v>O-2</v>
          </cell>
          <cell r="DP142">
            <v>0</v>
          </cell>
        </row>
        <row r="143">
          <cell r="A143" t="str">
            <v>FS1305</v>
          </cell>
          <cell r="B143" t="str">
            <v>Westerbister</v>
          </cell>
          <cell r="C143" t="str">
            <v>FB0125</v>
          </cell>
          <cell r="D143" t="str">
            <v>Scottish Sea Farms Ltd</v>
          </cell>
          <cell r="E143" t="str">
            <v>O-3</v>
          </cell>
          <cell r="DP143">
            <v>0</v>
          </cell>
        </row>
        <row r="144">
          <cell r="A144" t="str">
            <v>FS0266</v>
          </cell>
          <cell r="B144" t="str">
            <v>Loch An Sal</v>
          </cell>
          <cell r="C144" t="str">
            <v>FB0132</v>
          </cell>
          <cell r="D144" t="str">
            <v>Finfish Ltd</v>
          </cell>
          <cell r="E144" t="str">
            <v>M-9</v>
          </cell>
          <cell r="DP144">
            <v>0</v>
          </cell>
        </row>
        <row r="145">
          <cell r="A145" t="str">
            <v>FS0431</v>
          </cell>
          <cell r="B145" t="str">
            <v>Poll Loisgann</v>
          </cell>
          <cell r="C145" t="str">
            <v>FB0132</v>
          </cell>
          <cell r="D145" t="str">
            <v>Finfish Ltd</v>
          </cell>
          <cell r="E145" t="str">
            <v>M-9</v>
          </cell>
          <cell r="DP145">
            <v>0</v>
          </cell>
        </row>
        <row r="146">
          <cell r="A146" t="str">
            <v>FS0883</v>
          </cell>
          <cell r="B146" t="str">
            <v>Ghlas Mhor</v>
          </cell>
          <cell r="C146" t="str">
            <v>FB0132</v>
          </cell>
          <cell r="D146" t="str">
            <v>Finfish Ltd</v>
          </cell>
          <cell r="E146" t="str">
            <v>M-9</v>
          </cell>
          <cell r="DP146">
            <v>0</v>
          </cell>
        </row>
        <row r="147">
          <cell r="A147" t="str">
            <v>FS0271</v>
          </cell>
          <cell r="B147" t="str">
            <v>Kames Bay (west)</v>
          </cell>
          <cell r="C147" t="str">
            <v>FB0134</v>
          </cell>
          <cell r="D147" t="str">
            <v>Kames Fish Farming Ltd</v>
          </cell>
          <cell r="E147" t="str">
            <v>M-40</v>
          </cell>
          <cell r="DP147">
            <v>0</v>
          </cell>
        </row>
        <row r="148">
          <cell r="A148" t="str">
            <v>FS0462</v>
          </cell>
          <cell r="B148" t="str">
            <v>Kames Bay (east)</v>
          </cell>
          <cell r="C148" t="str">
            <v>FB0134</v>
          </cell>
          <cell r="D148" t="str">
            <v>Kames Fish Farming Ltd</v>
          </cell>
          <cell r="E148" t="str">
            <v>M-40</v>
          </cell>
          <cell r="DP148">
            <v>0</v>
          </cell>
        </row>
        <row r="149">
          <cell r="A149" t="str">
            <v>FS0465</v>
          </cell>
          <cell r="B149" t="str">
            <v>Shuna Castle</v>
          </cell>
          <cell r="C149" t="str">
            <v>FB0134</v>
          </cell>
          <cell r="D149" t="str">
            <v>Kames Fish Farming Ltd</v>
          </cell>
          <cell r="E149" t="str">
            <v>M-40</v>
          </cell>
          <cell r="DP149">
            <v>0</v>
          </cell>
        </row>
        <row r="150">
          <cell r="A150" t="str">
            <v>FS0777</v>
          </cell>
          <cell r="B150" t="str">
            <v>Eilean Coltair</v>
          </cell>
          <cell r="C150" t="str">
            <v>FB0134</v>
          </cell>
          <cell r="D150" t="str">
            <v>Kames Fish Farming Ltd</v>
          </cell>
          <cell r="E150" t="str">
            <v>M-40</v>
          </cell>
          <cell r="DP150">
            <v>0</v>
          </cell>
        </row>
        <row r="151">
          <cell r="A151" t="str">
            <v>FS1290</v>
          </cell>
          <cell r="B151" t="str">
            <v>Shuna SW (Rubh'an Trilleachain)</v>
          </cell>
          <cell r="C151" t="str">
            <v>FB0134</v>
          </cell>
          <cell r="D151" t="str">
            <v>Kames Fish Farming Ltd</v>
          </cell>
          <cell r="E151" t="str">
            <v>M-40</v>
          </cell>
          <cell r="DP151">
            <v>0</v>
          </cell>
        </row>
        <row r="152">
          <cell r="A152" t="str">
            <v>FS0050</v>
          </cell>
          <cell r="B152" t="str">
            <v>Kenmore Loch Torridon</v>
          </cell>
          <cell r="C152" t="str">
            <v>FB0169</v>
          </cell>
          <cell r="D152" t="str">
            <v>The Scottish Salmon Company</v>
          </cell>
          <cell r="E152" t="str">
            <v>M-17</v>
          </cell>
          <cell r="DP152">
            <v>0</v>
          </cell>
        </row>
        <row r="153">
          <cell r="A153" t="str">
            <v>FS0051</v>
          </cell>
          <cell r="B153" t="str">
            <v>Bagh Chlann Neill</v>
          </cell>
          <cell r="C153" t="str">
            <v>FB0169</v>
          </cell>
          <cell r="D153" t="str">
            <v>The Scottish Salmon Company</v>
          </cell>
          <cell r="E153" t="str">
            <v>W-14</v>
          </cell>
          <cell r="DP153">
            <v>0</v>
          </cell>
        </row>
        <row r="154">
          <cell r="A154" t="str">
            <v>FS0091</v>
          </cell>
          <cell r="B154" t="str">
            <v>Meall Mhor Loch Fyne</v>
          </cell>
          <cell r="C154" t="str">
            <v>FB0169</v>
          </cell>
          <cell r="D154" t="str">
            <v>The Scottish Salmon Company</v>
          </cell>
          <cell r="E154" t="str">
            <v>M-42</v>
          </cell>
          <cell r="DP154">
            <v>0</v>
          </cell>
        </row>
        <row r="155">
          <cell r="A155" t="str">
            <v>FS0190</v>
          </cell>
          <cell r="B155" t="str">
            <v>Loch Stockinish</v>
          </cell>
          <cell r="C155" t="str">
            <v>FB0169</v>
          </cell>
          <cell r="D155" t="str">
            <v>The Scottish Salmon Company</v>
          </cell>
          <cell r="E155" t="str">
            <v>W-9</v>
          </cell>
          <cell r="DP155">
            <v>0</v>
          </cell>
        </row>
        <row r="156">
          <cell r="A156" t="str">
            <v>FS0242</v>
          </cell>
          <cell r="B156" t="str">
            <v>Loch Odhairn</v>
          </cell>
          <cell r="C156" t="str">
            <v>FB0169</v>
          </cell>
          <cell r="D156" t="str">
            <v>The Scottish Salmon Company</v>
          </cell>
          <cell r="E156" t="str">
            <v>W-4</v>
          </cell>
          <cell r="DP156">
            <v>0</v>
          </cell>
        </row>
        <row r="157">
          <cell r="A157" t="str">
            <v>FS0336</v>
          </cell>
          <cell r="B157" t="str">
            <v>Druimyeon Bay</v>
          </cell>
          <cell r="C157" t="str">
            <v>FB0169</v>
          </cell>
          <cell r="D157" t="str">
            <v>The Scottish Salmon Company</v>
          </cell>
          <cell r="E157" t="str">
            <v>M-46</v>
          </cell>
          <cell r="DP157">
            <v>0</v>
          </cell>
        </row>
        <row r="158">
          <cell r="A158" t="str">
            <v>FS0340</v>
          </cell>
          <cell r="B158" t="str">
            <v>Kilerivagh / Petersport</v>
          </cell>
          <cell r="C158" t="str">
            <v>FB0169</v>
          </cell>
          <cell r="D158" t="str">
            <v>The Scottish Salmon Company</v>
          </cell>
          <cell r="E158" t="str">
            <v>W-16</v>
          </cell>
          <cell r="DP158">
            <v>0</v>
          </cell>
        </row>
        <row r="159">
          <cell r="A159" t="str">
            <v>FS0411</v>
          </cell>
          <cell r="B159" t="str">
            <v>Vuiabeag</v>
          </cell>
          <cell r="C159" t="str">
            <v>FB0169</v>
          </cell>
          <cell r="D159" t="str">
            <v>The Scottish Salmon Company</v>
          </cell>
          <cell r="E159" t="str">
            <v>W-2</v>
          </cell>
          <cell r="DP159">
            <v>0</v>
          </cell>
        </row>
        <row r="160">
          <cell r="A160" t="str">
            <v>FS0423</v>
          </cell>
          <cell r="B160" t="str">
            <v>Lamlash</v>
          </cell>
          <cell r="C160" t="str">
            <v>FB0169</v>
          </cell>
          <cell r="D160" t="str">
            <v>The Scottish Salmon Company</v>
          </cell>
          <cell r="E160" t="str">
            <v>M-48</v>
          </cell>
          <cell r="DP160">
            <v>0</v>
          </cell>
        </row>
        <row r="161">
          <cell r="A161" t="str">
            <v>FS0494</v>
          </cell>
          <cell r="B161" t="str">
            <v>Loch Meanenvagh</v>
          </cell>
          <cell r="C161" t="str">
            <v>FB0169</v>
          </cell>
          <cell r="D161" t="str">
            <v>The Scottish Salmon Company</v>
          </cell>
          <cell r="E161" t="str">
            <v>W-15</v>
          </cell>
          <cell r="DP161">
            <v>0</v>
          </cell>
        </row>
        <row r="162">
          <cell r="A162" t="str">
            <v>FS0559</v>
          </cell>
          <cell r="B162" t="str">
            <v>Ardyne</v>
          </cell>
          <cell r="C162" t="str">
            <v>FB0169</v>
          </cell>
          <cell r="D162" t="str">
            <v>The Scottish Salmon Company</v>
          </cell>
          <cell r="E162" t="str">
            <v>M-45</v>
          </cell>
          <cell r="DP162">
            <v>0</v>
          </cell>
        </row>
        <row r="163">
          <cell r="A163" t="str">
            <v>FS0567</v>
          </cell>
          <cell r="B163" t="str">
            <v>Furnace Quarry</v>
          </cell>
          <cell r="C163" t="str">
            <v>FB0169</v>
          </cell>
          <cell r="D163" t="str">
            <v>The Scottish Salmon Company</v>
          </cell>
          <cell r="E163" t="str">
            <v>M-42</v>
          </cell>
          <cell r="DP163">
            <v>0</v>
          </cell>
        </row>
        <row r="164">
          <cell r="A164" t="str">
            <v>FS0570</v>
          </cell>
          <cell r="B164" t="str">
            <v>Strome</v>
          </cell>
          <cell r="C164" t="str">
            <v>FB0169</v>
          </cell>
          <cell r="D164" t="str">
            <v>The Scottish Salmon Company</v>
          </cell>
          <cell r="E164" t="str">
            <v>M-20</v>
          </cell>
          <cell r="DP164">
            <v>0</v>
          </cell>
        </row>
        <row r="165">
          <cell r="A165" t="str">
            <v>FS0590</v>
          </cell>
          <cell r="B165" t="str">
            <v>Glenan Bay</v>
          </cell>
          <cell r="C165" t="str">
            <v>FB0169</v>
          </cell>
          <cell r="D165" t="str">
            <v>The Scottish Salmon Company</v>
          </cell>
          <cell r="E165" t="str">
            <v>M-42</v>
          </cell>
          <cell r="DP165">
            <v>0</v>
          </cell>
        </row>
        <row r="166">
          <cell r="A166" t="str">
            <v>FS0593</v>
          </cell>
          <cell r="B166" t="str">
            <v>Inch Kenneth</v>
          </cell>
          <cell r="C166" t="str">
            <v>FB0169</v>
          </cell>
          <cell r="D166" t="str">
            <v>The Scottish Salmon Company</v>
          </cell>
          <cell r="E166" t="str">
            <v>M-37</v>
          </cell>
          <cell r="DP166">
            <v>0</v>
          </cell>
        </row>
        <row r="167">
          <cell r="A167" t="str">
            <v>FS0594</v>
          </cell>
          <cell r="B167" t="str">
            <v>Aird</v>
          </cell>
          <cell r="C167" t="str">
            <v>FB0169</v>
          </cell>
          <cell r="D167" t="str">
            <v>The Scottish Salmon Company</v>
          </cell>
          <cell r="E167" t="str">
            <v>M-17</v>
          </cell>
          <cell r="DP167">
            <v>0</v>
          </cell>
        </row>
        <row r="168">
          <cell r="A168" t="str">
            <v>FS0617</v>
          </cell>
          <cell r="B168" t="str">
            <v>Loch Tuath</v>
          </cell>
          <cell r="C168" t="str">
            <v>FB0169</v>
          </cell>
          <cell r="D168" t="str">
            <v>The Scottish Salmon Company</v>
          </cell>
          <cell r="E168" t="str">
            <v>M-37</v>
          </cell>
          <cell r="DP168">
            <v>0</v>
          </cell>
        </row>
        <row r="169">
          <cell r="A169" t="str">
            <v>FS0683</v>
          </cell>
          <cell r="B169" t="str">
            <v>Gob a Bharra Loch Fyne</v>
          </cell>
          <cell r="C169" t="str">
            <v>FB0169</v>
          </cell>
          <cell r="D169" t="str">
            <v>The Scottish Salmon Company</v>
          </cell>
          <cell r="E169" t="str">
            <v>M-42</v>
          </cell>
          <cell r="DP169">
            <v>0</v>
          </cell>
        </row>
        <row r="170">
          <cell r="A170" t="str">
            <v>FS0033</v>
          </cell>
          <cell r="B170" t="str">
            <v>Dury Voe</v>
          </cell>
          <cell r="C170" t="str">
            <v>FB0125</v>
          </cell>
          <cell r="D170" t="str">
            <v>Scottish Sea Farms Ltd</v>
          </cell>
          <cell r="E170" t="str">
            <v>S-5</v>
          </cell>
          <cell r="DG170">
            <v>5.49</v>
          </cell>
          <cell r="DH170">
            <v>42717</v>
          </cell>
          <cell r="DI170" t="str">
            <v>Thermolicer to be used in first week of January</v>
          </cell>
          <cell r="DJ170">
            <v>4.26</v>
          </cell>
          <cell r="DK170" t="str">
            <v>19/12/16 (3 cages)</v>
          </cell>
          <cell r="DM170">
            <v>7.06</v>
          </cell>
          <cell r="DP170">
            <v>0</v>
          </cell>
        </row>
        <row r="171">
          <cell r="A171" t="str">
            <v>FS0708</v>
          </cell>
          <cell r="B171" t="str">
            <v>Portree</v>
          </cell>
          <cell r="C171" t="str">
            <v>FB0169</v>
          </cell>
          <cell r="D171" t="str">
            <v>The Scottish Salmon Company</v>
          </cell>
          <cell r="E171" t="str">
            <v>M-26</v>
          </cell>
          <cell r="DP171">
            <v>0</v>
          </cell>
        </row>
        <row r="172">
          <cell r="A172" t="str">
            <v>FS0752</v>
          </cell>
          <cell r="B172" t="str">
            <v>Taranaish</v>
          </cell>
          <cell r="C172" t="str">
            <v>FB0169</v>
          </cell>
          <cell r="D172" t="str">
            <v>The Scottish Salmon Company</v>
          </cell>
          <cell r="E172" t="str">
            <v>W-1</v>
          </cell>
          <cell r="DP172">
            <v>0</v>
          </cell>
        </row>
        <row r="173">
          <cell r="A173" t="str">
            <v>FS0767</v>
          </cell>
          <cell r="B173" t="str">
            <v>Tarbert South</v>
          </cell>
          <cell r="C173" t="str">
            <v>FB0169</v>
          </cell>
          <cell r="D173" t="str">
            <v>The Scottish Salmon Company</v>
          </cell>
          <cell r="E173" t="str">
            <v>M-42</v>
          </cell>
          <cell r="DP173">
            <v>0</v>
          </cell>
        </row>
        <row r="174">
          <cell r="A174" t="str">
            <v>FS0796</v>
          </cell>
          <cell r="B174" t="str">
            <v>Treanay</v>
          </cell>
          <cell r="C174" t="str">
            <v>FB0169</v>
          </cell>
          <cell r="D174" t="str">
            <v>The Scottish Salmon Company</v>
          </cell>
          <cell r="E174" t="str">
            <v>W-13</v>
          </cell>
          <cell r="DP174">
            <v>0</v>
          </cell>
        </row>
        <row r="175">
          <cell r="A175" t="str">
            <v>FS0616</v>
          </cell>
          <cell r="B175" t="str">
            <v>Nevis B</v>
          </cell>
          <cell r="C175" t="str">
            <v>FB0125</v>
          </cell>
          <cell r="D175" t="str">
            <v>Scottish Sea Farms Ltd</v>
          </cell>
          <cell r="E175" t="str">
            <v>M-23</v>
          </cell>
          <cell r="DG175">
            <v>4.08</v>
          </cell>
          <cell r="DH175">
            <v>42716</v>
          </cell>
          <cell r="DL175" t="str">
            <v>chemical treatment</v>
          </cell>
          <cell r="DO175" t="str">
            <v>chemical treatment</v>
          </cell>
          <cell r="DP175">
            <v>0</v>
          </cell>
        </row>
        <row r="176">
          <cell r="A176" t="str">
            <v>FS0839</v>
          </cell>
          <cell r="B176" t="str">
            <v>Geasgill</v>
          </cell>
          <cell r="C176" t="str">
            <v>FB0169</v>
          </cell>
          <cell r="D176" t="str">
            <v>The Scottish Salmon Company</v>
          </cell>
          <cell r="E176" t="str">
            <v>M-37</v>
          </cell>
          <cell r="DP176">
            <v>0</v>
          </cell>
        </row>
        <row r="177">
          <cell r="A177" t="str">
            <v>FS0851</v>
          </cell>
          <cell r="B177" t="str">
            <v>Ardgadden</v>
          </cell>
          <cell r="C177" t="str">
            <v>FB0169</v>
          </cell>
          <cell r="D177" t="str">
            <v>The Scottish Salmon Company</v>
          </cell>
          <cell r="E177" t="str">
            <v>M-42</v>
          </cell>
          <cell r="DP177">
            <v>0</v>
          </cell>
        </row>
        <row r="178">
          <cell r="A178" t="str">
            <v>FS0894</v>
          </cell>
          <cell r="B178" t="str">
            <v>Rubha Stillaig</v>
          </cell>
          <cell r="C178" t="str">
            <v>FB0169</v>
          </cell>
          <cell r="D178" t="str">
            <v>The Scottish Salmon Company</v>
          </cell>
          <cell r="E178" t="str">
            <v>M-42</v>
          </cell>
          <cell r="DP178">
            <v>0</v>
          </cell>
        </row>
        <row r="179">
          <cell r="A179" t="str">
            <v>FS0927</v>
          </cell>
          <cell r="B179" t="str">
            <v>Kyles of Vuia</v>
          </cell>
          <cell r="C179" t="str">
            <v>FB0169</v>
          </cell>
          <cell r="D179" t="str">
            <v>The Scottish Salmon Company</v>
          </cell>
          <cell r="E179" t="str">
            <v>W-2</v>
          </cell>
          <cell r="DP179">
            <v>0</v>
          </cell>
        </row>
        <row r="180">
          <cell r="A180" t="str">
            <v>FS0998</v>
          </cell>
          <cell r="B180" t="str">
            <v>Gousam</v>
          </cell>
          <cell r="C180" t="str">
            <v>FB0169</v>
          </cell>
          <cell r="D180" t="str">
            <v>The Scottish Salmon Company</v>
          </cell>
          <cell r="E180" t="str">
            <v>W-2</v>
          </cell>
          <cell r="DP180">
            <v>0</v>
          </cell>
        </row>
        <row r="181">
          <cell r="A181" t="str">
            <v>FS1010</v>
          </cell>
          <cell r="B181" t="str">
            <v>East Tarbert Bay</v>
          </cell>
          <cell r="C181" t="str">
            <v>FB0169</v>
          </cell>
          <cell r="D181" t="str">
            <v>The Scottish Salmon Company</v>
          </cell>
          <cell r="E181" t="str">
            <v>M-46</v>
          </cell>
          <cell r="DP181">
            <v>0</v>
          </cell>
        </row>
        <row r="182">
          <cell r="A182" t="str">
            <v>FS0699</v>
          </cell>
          <cell r="B182" t="str">
            <v>Loura Voe</v>
          </cell>
          <cell r="C182" t="str">
            <v>FB0125</v>
          </cell>
          <cell r="D182" t="str">
            <v>Scottish Sea Farms Ltd</v>
          </cell>
          <cell r="E182" t="str">
            <v>S-5</v>
          </cell>
          <cell r="DG182">
            <v>3.26</v>
          </cell>
          <cell r="DH182">
            <v>42716</v>
          </cell>
          <cell r="DI182" t="str">
            <v>Thermolicer to be used in first week of January</v>
          </cell>
          <cell r="DJ182">
            <v>2.93</v>
          </cell>
          <cell r="DK182" t="str">
            <v>19/12/2016 (4 cages)</v>
          </cell>
          <cell r="DM182">
            <v>4.1100000000000003</v>
          </cell>
          <cell r="DP182">
            <v>0</v>
          </cell>
        </row>
        <row r="183">
          <cell r="A183" t="str">
            <v>FS1056</v>
          </cell>
          <cell r="B183" t="str">
            <v>Strone Point</v>
          </cell>
          <cell r="C183" t="str">
            <v>FB0169</v>
          </cell>
          <cell r="D183" t="str">
            <v>The Scottish Salmon Company</v>
          </cell>
          <cell r="E183" t="str">
            <v>M-45</v>
          </cell>
          <cell r="DP183">
            <v>0</v>
          </cell>
        </row>
        <row r="184">
          <cell r="A184" t="str">
            <v>FS1091</v>
          </cell>
          <cell r="B184" t="str">
            <v>Vacasay</v>
          </cell>
          <cell r="C184" t="str">
            <v>FB0169</v>
          </cell>
          <cell r="D184" t="str">
            <v>The Scottish Salmon Company</v>
          </cell>
          <cell r="E184" t="str">
            <v>W-1</v>
          </cell>
          <cell r="DP184">
            <v>0</v>
          </cell>
        </row>
        <row r="185">
          <cell r="A185" t="str">
            <v>FS1103</v>
          </cell>
          <cell r="B185" t="str">
            <v>Vuia Mor</v>
          </cell>
          <cell r="C185" t="str">
            <v>FB0169</v>
          </cell>
          <cell r="D185" t="str">
            <v>The Scottish Salmon Company</v>
          </cell>
          <cell r="E185" t="str">
            <v>W-2</v>
          </cell>
          <cell r="DP185">
            <v>0</v>
          </cell>
        </row>
        <row r="186">
          <cell r="A186" t="str">
            <v>FS1118</v>
          </cell>
          <cell r="B186" t="str">
            <v>Trilleachan Mor</v>
          </cell>
          <cell r="C186" t="str">
            <v>FB0169</v>
          </cell>
          <cell r="D186" t="str">
            <v>The Scottish Salmon Company</v>
          </cell>
          <cell r="E186" t="str">
            <v>W-6</v>
          </cell>
          <cell r="DP186">
            <v>0</v>
          </cell>
        </row>
        <row r="187">
          <cell r="A187" t="str">
            <v>FS1233</v>
          </cell>
          <cell r="B187" t="str">
            <v>Eughlam</v>
          </cell>
          <cell r="C187" t="str">
            <v>FB0169</v>
          </cell>
          <cell r="D187" t="str">
            <v>The Scottish Salmon Company</v>
          </cell>
          <cell r="E187" t="str">
            <v>W-1</v>
          </cell>
          <cell r="DP187">
            <v>0</v>
          </cell>
        </row>
        <row r="188">
          <cell r="A188" t="str">
            <v>FS1254</v>
          </cell>
          <cell r="B188" t="str">
            <v>Outer Eport</v>
          </cell>
          <cell r="C188" t="str">
            <v>FB0169</v>
          </cell>
          <cell r="D188" t="str">
            <v>The Scottish Salmon Company</v>
          </cell>
          <cell r="E188" t="str">
            <v>W-13</v>
          </cell>
          <cell r="DP188">
            <v>0</v>
          </cell>
        </row>
        <row r="189">
          <cell r="A189" t="str">
            <v>FS1255</v>
          </cell>
          <cell r="B189" t="str">
            <v>North Uiskevagh</v>
          </cell>
          <cell r="C189" t="str">
            <v>FB0169</v>
          </cell>
          <cell r="D189" t="str">
            <v>The Scottish Salmon Company</v>
          </cell>
          <cell r="E189" t="str">
            <v>W-15</v>
          </cell>
          <cell r="DP189">
            <v>0</v>
          </cell>
        </row>
        <row r="190">
          <cell r="A190" t="str">
            <v>FS0749</v>
          </cell>
          <cell r="B190" t="str">
            <v>Holms Geo</v>
          </cell>
          <cell r="C190" t="str">
            <v>FB0125</v>
          </cell>
          <cell r="D190" t="str">
            <v>Scottish Sea Farms Ltd</v>
          </cell>
          <cell r="E190" t="str">
            <v>S-11</v>
          </cell>
          <cell r="DP190">
            <v>0</v>
          </cell>
        </row>
        <row r="191">
          <cell r="A191" t="str">
            <v>FS1262</v>
          </cell>
          <cell r="B191" t="str">
            <v>Sgeir Dughall</v>
          </cell>
          <cell r="C191" t="str">
            <v>FB0169</v>
          </cell>
          <cell r="D191" t="str">
            <v>The Scottish Salmon Company</v>
          </cell>
          <cell r="E191" t="str">
            <v>M-17</v>
          </cell>
          <cell r="DP191">
            <v>0</v>
          </cell>
        </row>
        <row r="192">
          <cell r="A192" t="str">
            <v>FS1267</v>
          </cell>
          <cell r="B192" t="str">
            <v>Gometra</v>
          </cell>
          <cell r="C192" t="str">
            <v>FB0169</v>
          </cell>
          <cell r="D192" t="str">
            <v>The Scottish Salmon Company</v>
          </cell>
          <cell r="E192" t="str">
            <v>M-37</v>
          </cell>
          <cell r="DP192">
            <v>0</v>
          </cell>
        </row>
        <row r="193">
          <cell r="A193" t="str">
            <v>FS1093</v>
          </cell>
          <cell r="B193" t="str">
            <v>Teisti Geo</v>
          </cell>
          <cell r="C193" t="str">
            <v>FB0125</v>
          </cell>
          <cell r="D193" t="str">
            <v>Scottish Sea Farms Ltd</v>
          </cell>
          <cell r="E193" t="str">
            <v>S-11</v>
          </cell>
          <cell r="CU193">
            <v>3.97</v>
          </cell>
          <cell r="CV193">
            <v>42688</v>
          </cell>
          <cell r="CW193" t="str">
            <v>H2O2 treated 17-18/11/16</v>
          </cell>
          <cell r="CX193">
            <v>2.34</v>
          </cell>
          <cell r="CY193">
            <v>42697</v>
          </cell>
          <cell r="DA193">
            <v>2.2599999999999998</v>
          </cell>
          <cell r="DB193">
            <v>42702</v>
          </cell>
          <cell r="DC193" t="str">
            <v>SLICE</v>
          </cell>
          <cell r="DG193">
            <v>3.86</v>
          </cell>
          <cell r="DH193">
            <v>42716</v>
          </cell>
          <cell r="DI193" t="str">
            <v>Thermolicer on site (14-19/12/16) - nearly 100% clearance.</v>
          </cell>
          <cell r="DO193" t="str">
            <v>thermolicer</v>
          </cell>
          <cell r="DP193">
            <v>0</v>
          </cell>
        </row>
        <row r="194">
          <cell r="A194" t="str">
            <v>FS1281</v>
          </cell>
          <cell r="B194" t="str">
            <v>Sgian Dubh</v>
          </cell>
          <cell r="C194" t="str">
            <v>FB0169</v>
          </cell>
          <cell r="D194" t="str">
            <v>The Scottish Salmon Company</v>
          </cell>
          <cell r="E194" t="str">
            <v>M-45</v>
          </cell>
          <cell r="DP194">
            <v>0</v>
          </cell>
        </row>
        <row r="195">
          <cell r="A195" t="str">
            <v>FS1282</v>
          </cell>
          <cell r="B195" t="str">
            <v>Greanamul</v>
          </cell>
          <cell r="C195" t="str">
            <v>FB0169</v>
          </cell>
          <cell r="D195" t="str">
            <v>The Scottish Salmon Company</v>
          </cell>
          <cell r="E195" t="str">
            <v>W-15</v>
          </cell>
          <cell r="DP195">
            <v>0</v>
          </cell>
        </row>
        <row r="196">
          <cell r="A196" t="str">
            <v>FS0800</v>
          </cell>
          <cell r="B196" t="str">
            <v>Leinish</v>
          </cell>
          <cell r="C196" t="str">
            <v>FB0440</v>
          </cell>
          <cell r="D196" t="str">
            <v>Grieg Seafood Shetland Ltd</v>
          </cell>
          <cell r="E196" t="str">
            <v>M-25</v>
          </cell>
          <cell r="CN196" t="str">
            <v>chemical treatment</v>
          </cell>
          <cell r="CO196">
            <v>2.4500000000000002</v>
          </cell>
          <cell r="CQ196" t="str">
            <v>chemical treatment</v>
          </cell>
          <cell r="CR196">
            <v>11.2</v>
          </cell>
          <cell r="CT196" t="str">
            <v>chemical treatment</v>
          </cell>
          <cell r="CW196" t="str">
            <v>chemical treatment</v>
          </cell>
          <cell r="CX196">
            <v>5.73</v>
          </cell>
          <cell r="CZ196" t="str">
            <v>chemical treatment</v>
          </cell>
          <cell r="DA196">
            <v>7.4</v>
          </cell>
          <cell r="DC196" t="str">
            <v>chemical treatment</v>
          </cell>
          <cell r="DF196" t="str">
            <v>chemical treatment</v>
          </cell>
          <cell r="DG196">
            <v>10</v>
          </cell>
          <cell r="DI196" t="str">
            <v>chemical treatment</v>
          </cell>
          <cell r="DJ196" t="str">
            <v>no count</v>
          </cell>
          <cell r="DL196" t="str">
            <v>chemical treatment</v>
          </cell>
          <cell r="DM196">
            <v>8.56</v>
          </cell>
          <cell r="DO196" t="str">
            <v>chemical treatment</v>
          </cell>
          <cell r="DP196">
            <v>1</v>
          </cell>
        </row>
        <row r="197">
          <cell r="A197" t="str">
            <v>FS1304</v>
          </cell>
          <cell r="B197" t="str">
            <v>Maragay Mor</v>
          </cell>
          <cell r="C197" t="str">
            <v>FB0169</v>
          </cell>
          <cell r="D197" t="str">
            <v>The Scottish Salmon Company</v>
          </cell>
          <cell r="E197" t="str">
            <v>W-15</v>
          </cell>
          <cell r="DP197">
            <v>0</v>
          </cell>
        </row>
        <row r="198">
          <cell r="A198" t="str">
            <v>FS0449</v>
          </cell>
          <cell r="B198" t="str">
            <v>Baltasound Harbour</v>
          </cell>
          <cell r="C198" t="str">
            <v>FB0220</v>
          </cell>
          <cell r="D198" t="str">
            <v>Balta Island Seafare Ltd</v>
          </cell>
          <cell r="E198" t="str">
            <v>S-1</v>
          </cell>
          <cell r="DP198">
            <v>0</v>
          </cell>
        </row>
        <row r="199">
          <cell r="A199" t="str">
            <v>FS0717</v>
          </cell>
          <cell r="B199" t="str">
            <v>Balta Island</v>
          </cell>
          <cell r="C199" t="str">
            <v>FB0220</v>
          </cell>
          <cell r="D199" t="str">
            <v>Balta Island Seafare Ltd</v>
          </cell>
          <cell r="E199" t="str">
            <v>S-1</v>
          </cell>
          <cell r="DP199">
            <v>0</v>
          </cell>
        </row>
        <row r="200">
          <cell r="A200" t="str">
            <v>FS0814</v>
          </cell>
          <cell r="B200" t="str">
            <v>Swarta Skerry</v>
          </cell>
          <cell r="C200" t="str">
            <v>FB0220</v>
          </cell>
          <cell r="D200" t="str">
            <v>Balta Island Seafare Ltd</v>
          </cell>
          <cell r="E200" t="str">
            <v>S-1</v>
          </cell>
          <cell r="DP200">
            <v>0</v>
          </cell>
        </row>
        <row r="201">
          <cell r="A201" t="str">
            <v>FS1102</v>
          </cell>
          <cell r="B201" t="str">
            <v>Baltasound Pier</v>
          </cell>
          <cell r="C201" t="str">
            <v>FB0220</v>
          </cell>
          <cell r="D201" t="str">
            <v>Balta Island Seafare Ltd</v>
          </cell>
          <cell r="E201" t="str">
            <v>S-1</v>
          </cell>
          <cell r="DP201">
            <v>0</v>
          </cell>
        </row>
        <row r="202">
          <cell r="A202" t="str">
            <v>FS0469</v>
          </cell>
          <cell r="B202" t="str">
            <v>Scottish Marine Institute (SAMS) (Fish)</v>
          </cell>
          <cell r="C202" t="str">
            <v>FB0354</v>
          </cell>
          <cell r="D202" t="str">
            <v>Scottish Marine Institute (SAMS)</v>
          </cell>
          <cell r="DP202">
            <v>0</v>
          </cell>
        </row>
        <row r="203">
          <cell r="A203" t="str">
            <v>FS0976</v>
          </cell>
          <cell r="B203" t="str">
            <v>Aquatic Research Facilities (ARF)</v>
          </cell>
          <cell r="C203" t="str">
            <v>FB0357</v>
          </cell>
          <cell r="D203" t="str">
            <v>University of Stirling</v>
          </cell>
          <cell r="DP203">
            <v>0</v>
          </cell>
        </row>
        <row r="204">
          <cell r="A204" t="str">
            <v>FS0980</v>
          </cell>
          <cell r="B204" t="str">
            <v>C T Aquarium</v>
          </cell>
          <cell r="C204" t="str">
            <v>FB0357</v>
          </cell>
          <cell r="D204" t="str">
            <v>University of Stirling</v>
          </cell>
          <cell r="DP204">
            <v>0</v>
          </cell>
        </row>
        <row r="205">
          <cell r="A205" t="str">
            <v>FS1289</v>
          </cell>
          <cell r="B205" t="str">
            <v>Temperate Facilities</v>
          </cell>
          <cell r="C205" t="str">
            <v>FB0357</v>
          </cell>
          <cell r="D205" t="str">
            <v>University of Stirling</v>
          </cell>
          <cell r="DP205">
            <v>0</v>
          </cell>
        </row>
        <row r="206">
          <cell r="A206" t="str">
            <v>FS0991</v>
          </cell>
          <cell r="B206" t="str">
            <v>Marine Hatchery</v>
          </cell>
          <cell r="C206" t="str">
            <v>FB0374</v>
          </cell>
          <cell r="D206" t="str">
            <v>NAFC Marine Centre</v>
          </cell>
          <cell r="E206" t="str">
            <v>S-11</v>
          </cell>
          <cell r="DP206">
            <v>0</v>
          </cell>
        </row>
        <row r="207">
          <cell r="A207" t="str">
            <v>FS0880</v>
          </cell>
          <cell r="B207" t="str">
            <v>Sgeir Mhor</v>
          </cell>
          <cell r="C207" t="str">
            <v>FB0380</v>
          </cell>
          <cell r="D207" t="str">
            <v>Sgeir Mhor (Salmon) Ltd.,</v>
          </cell>
          <cell r="E207" t="str">
            <v>M-26</v>
          </cell>
          <cell r="DP207">
            <v>0</v>
          </cell>
        </row>
        <row r="208">
          <cell r="A208" t="str">
            <v>FS0938</v>
          </cell>
          <cell r="B208" t="str">
            <v>General Aquarium Facility</v>
          </cell>
          <cell r="C208" t="str">
            <v>FB0393</v>
          </cell>
          <cell r="D208" t="str">
            <v>Marine Environmental Research Laboratory</v>
          </cell>
          <cell r="DP208">
            <v>0</v>
          </cell>
        </row>
        <row r="209">
          <cell r="A209" t="str">
            <v>FS0939</v>
          </cell>
          <cell r="B209" t="str">
            <v>Isolation Unit</v>
          </cell>
          <cell r="C209" t="str">
            <v>FB0393</v>
          </cell>
          <cell r="D209" t="str">
            <v>Marine Environmental Research Laboratory</v>
          </cell>
          <cell r="DP209">
            <v>0</v>
          </cell>
        </row>
        <row r="210">
          <cell r="A210" t="str">
            <v>FS1009</v>
          </cell>
          <cell r="B210" t="str">
            <v>Lifeboat Station</v>
          </cell>
          <cell r="C210" t="str">
            <v>FB0393</v>
          </cell>
          <cell r="D210" t="str">
            <v>Marine Environmental Research Laboratory</v>
          </cell>
          <cell r="DP210">
            <v>0</v>
          </cell>
        </row>
        <row r="211">
          <cell r="A211" t="str">
            <v>FS1100</v>
          </cell>
          <cell r="B211" t="str">
            <v>Quarantine Facility</v>
          </cell>
          <cell r="C211" t="str">
            <v>FB0393</v>
          </cell>
          <cell r="D211" t="str">
            <v>Marine Environmental Research Laboratory</v>
          </cell>
          <cell r="E211" t="str">
            <v>M-49</v>
          </cell>
          <cell r="DP211">
            <v>0</v>
          </cell>
        </row>
        <row r="212">
          <cell r="A212" t="str">
            <v>FS0943</v>
          </cell>
          <cell r="B212" t="str">
            <v>Marine Scotland Marine Laboratory</v>
          </cell>
          <cell r="C212" t="str">
            <v>FB0394</v>
          </cell>
          <cell r="D212" t="str">
            <v>Marine Scotland Marine Laboratory</v>
          </cell>
          <cell r="DP212">
            <v>0</v>
          </cell>
        </row>
        <row r="213">
          <cell r="A213" t="str">
            <v>FS1222</v>
          </cell>
          <cell r="B213" t="str">
            <v>Site 1 Head of Loch Linnhe</v>
          </cell>
          <cell r="C213" t="str">
            <v>FB0394</v>
          </cell>
          <cell r="D213" t="str">
            <v>Marine Scotland Marine Laboratory</v>
          </cell>
          <cell r="DP213">
            <v>0</v>
          </cell>
        </row>
        <row r="214">
          <cell r="A214" t="str">
            <v>FS1223</v>
          </cell>
          <cell r="B214" t="str">
            <v>Site 2 North of The Corran Narrows</v>
          </cell>
          <cell r="C214" t="str">
            <v>FB0394</v>
          </cell>
          <cell r="D214" t="str">
            <v>Marine Scotland Marine Laboratory</v>
          </cell>
          <cell r="DP214">
            <v>0</v>
          </cell>
        </row>
        <row r="215">
          <cell r="A215" t="str">
            <v>FS1224</v>
          </cell>
          <cell r="B215" t="str">
            <v>Site 3 South of the Corran Narrows</v>
          </cell>
          <cell r="C215" t="str">
            <v>FB0394</v>
          </cell>
          <cell r="D215" t="str">
            <v>Marine Scotland Marine Laboratory</v>
          </cell>
          <cell r="DP215">
            <v>0</v>
          </cell>
        </row>
        <row r="216">
          <cell r="A216" t="str">
            <v>FS1225</v>
          </cell>
          <cell r="B216" t="str">
            <v>Site 4 Ballachulish Bay</v>
          </cell>
          <cell r="C216" t="str">
            <v>FB0394</v>
          </cell>
          <cell r="D216" t="str">
            <v>Marine Scotland Marine Laboratory</v>
          </cell>
          <cell r="DP216">
            <v>0</v>
          </cell>
        </row>
        <row r="217">
          <cell r="A217" t="str">
            <v>FS1226</v>
          </cell>
          <cell r="B217" t="str">
            <v>Site 5 Inversanda Bay</v>
          </cell>
          <cell r="C217" t="str">
            <v>FB0394</v>
          </cell>
          <cell r="D217" t="str">
            <v>Marine Scotland Marine Laboratory</v>
          </cell>
          <cell r="DP217">
            <v>0</v>
          </cell>
        </row>
        <row r="218">
          <cell r="A218" t="str">
            <v>FS1227</v>
          </cell>
          <cell r="B218" t="str">
            <v>Site 6 Cuil Bay</v>
          </cell>
          <cell r="C218" t="str">
            <v>FB0394</v>
          </cell>
          <cell r="D218" t="str">
            <v>Marine Scotland Marine Laboratory</v>
          </cell>
          <cell r="DP218">
            <v>0</v>
          </cell>
        </row>
        <row r="219">
          <cell r="A219" t="str">
            <v>FS1228</v>
          </cell>
          <cell r="B219" t="str">
            <v>Site 7 Shuna Island</v>
          </cell>
          <cell r="C219" t="str">
            <v>FB0394</v>
          </cell>
          <cell r="D219" t="str">
            <v>Marine Scotland Marine Laboratory</v>
          </cell>
          <cell r="DP219">
            <v>0</v>
          </cell>
        </row>
        <row r="220">
          <cell r="A220" t="str">
            <v>FS1229</v>
          </cell>
          <cell r="B220" t="str">
            <v>Site 8 Loch a Choire</v>
          </cell>
          <cell r="C220" t="str">
            <v>FB0394</v>
          </cell>
          <cell r="D220" t="str">
            <v>Marine Scotland Marine Laboratory</v>
          </cell>
          <cell r="DP220">
            <v>0</v>
          </cell>
        </row>
        <row r="221">
          <cell r="A221" t="str">
            <v>FS1230</v>
          </cell>
          <cell r="B221" t="str">
            <v>Site 9 Camas Nathais</v>
          </cell>
          <cell r="C221" t="str">
            <v>FB0394</v>
          </cell>
          <cell r="D221" t="str">
            <v>Marine Scotland Marine Laboratory</v>
          </cell>
          <cell r="DP221">
            <v>0</v>
          </cell>
        </row>
        <row r="222">
          <cell r="A222" t="str">
            <v>FS1231</v>
          </cell>
          <cell r="B222" t="str">
            <v>Site 10 Rubha a'Mhothair</v>
          </cell>
          <cell r="C222" t="str">
            <v>FB0394</v>
          </cell>
          <cell r="D222" t="str">
            <v>Marine Scotland Marine Laboratory</v>
          </cell>
          <cell r="DP222">
            <v>0</v>
          </cell>
        </row>
        <row r="223">
          <cell r="A223" t="str">
            <v>FS1232</v>
          </cell>
          <cell r="B223" t="str">
            <v>Site 11 Contingency Site</v>
          </cell>
          <cell r="C223" t="str">
            <v>FB0394</v>
          </cell>
          <cell r="D223" t="str">
            <v>Marine Scotland Marine Laboratory</v>
          </cell>
          <cell r="DP223">
            <v>0</v>
          </cell>
        </row>
        <row r="224">
          <cell r="A224" t="str">
            <v>FS1283</v>
          </cell>
          <cell r="B224" t="str">
            <v>Cromarty Harbour</v>
          </cell>
          <cell r="C224" t="str">
            <v>FB0394</v>
          </cell>
          <cell r="D224" t="str">
            <v>Marine Scotland Marine Laboratory</v>
          </cell>
          <cell r="DP224">
            <v>0</v>
          </cell>
        </row>
        <row r="225">
          <cell r="A225" t="str">
            <v>FS1284</v>
          </cell>
          <cell r="B225" t="str">
            <v>Fortrose Bay</v>
          </cell>
          <cell r="C225" t="str">
            <v>FB0394</v>
          </cell>
          <cell r="D225" t="str">
            <v>Marine Scotland Marine Laboratory</v>
          </cell>
          <cell r="DP225">
            <v>0</v>
          </cell>
        </row>
        <row r="226">
          <cell r="A226" t="str">
            <v>FS1285</v>
          </cell>
          <cell r="B226" t="str">
            <v>Nigg Pier</v>
          </cell>
          <cell r="C226" t="str">
            <v>FB0394</v>
          </cell>
          <cell r="D226" t="str">
            <v>Marine Scotland Marine Laboratory</v>
          </cell>
          <cell r="DP226">
            <v>0</v>
          </cell>
        </row>
        <row r="227">
          <cell r="A227" t="str">
            <v>FS0065</v>
          </cell>
          <cell r="B227" t="str">
            <v>Loch Laxford</v>
          </cell>
          <cell r="C227" t="str">
            <v>FB0398</v>
          </cell>
          <cell r="D227" t="str">
            <v>Loch Duart Ltd</v>
          </cell>
          <cell r="E227" t="str">
            <v>M-3</v>
          </cell>
          <cell r="DP227">
            <v>0</v>
          </cell>
        </row>
        <row r="228">
          <cell r="A228" t="str">
            <v>FS0067</v>
          </cell>
          <cell r="B228" t="str">
            <v>Badcall Bay</v>
          </cell>
          <cell r="C228" t="str">
            <v>FB0398</v>
          </cell>
          <cell r="D228" t="str">
            <v>Loch Duart Ltd</v>
          </cell>
          <cell r="E228" t="str">
            <v>M-4</v>
          </cell>
          <cell r="DP228">
            <v>0</v>
          </cell>
        </row>
        <row r="229">
          <cell r="A229" t="str">
            <v>FS0068</v>
          </cell>
          <cell r="B229" t="str">
            <v>Calva Bay (Calbha Beag)</v>
          </cell>
          <cell r="C229" t="str">
            <v>FB0398</v>
          </cell>
          <cell r="D229" t="str">
            <v>Loch Duart Ltd</v>
          </cell>
          <cell r="E229" t="str">
            <v>M-5</v>
          </cell>
          <cell r="DP229">
            <v>0</v>
          </cell>
        </row>
        <row r="230">
          <cell r="A230" t="str">
            <v>FS0129</v>
          </cell>
          <cell r="B230" t="str">
            <v>Nedd</v>
          </cell>
          <cell r="C230" t="str">
            <v>FB0398</v>
          </cell>
          <cell r="D230" t="str">
            <v>Loch Duart Ltd</v>
          </cell>
          <cell r="E230" t="str">
            <v>M-7</v>
          </cell>
          <cell r="DP230">
            <v>0</v>
          </cell>
        </row>
        <row r="231">
          <cell r="A231" t="str">
            <v>FS0487</v>
          </cell>
          <cell r="B231" t="str">
            <v>Drumbeg (Loch Dhrombaig)</v>
          </cell>
          <cell r="C231" t="str">
            <v>FB0398</v>
          </cell>
          <cell r="D231" t="str">
            <v>Loch Duart Ltd</v>
          </cell>
          <cell r="E231" t="str">
            <v>M-7</v>
          </cell>
          <cell r="DP231">
            <v>0</v>
          </cell>
        </row>
        <row r="232">
          <cell r="A232" t="str">
            <v>FS0621</v>
          </cell>
          <cell r="B232" t="str">
            <v>Loch A Chairn Bhain</v>
          </cell>
          <cell r="C232" t="str">
            <v>FB0398</v>
          </cell>
          <cell r="D232" t="str">
            <v>Loch Duart Ltd</v>
          </cell>
          <cell r="E232" t="str">
            <v>M-6</v>
          </cell>
          <cell r="DP232">
            <v>0</v>
          </cell>
        </row>
        <row r="233">
          <cell r="A233" t="str">
            <v>FS0671</v>
          </cell>
          <cell r="B233" t="str">
            <v>Outer Bay (Loch Droighniche)</v>
          </cell>
          <cell r="C233" t="str">
            <v>FB0398</v>
          </cell>
          <cell r="D233" t="str">
            <v>Loch Duart Ltd</v>
          </cell>
          <cell r="E233" t="str">
            <v>M-7</v>
          </cell>
          <cell r="DP233">
            <v>0</v>
          </cell>
        </row>
        <row r="234">
          <cell r="A234" t="str">
            <v>FS0853</v>
          </cell>
          <cell r="B234" t="str">
            <v>Lochmaddy</v>
          </cell>
          <cell r="C234" t="str">
            <v>FB0398</v>
          </cell>
          <cell r="D234" t="str">
            <v>Loch Duart Ltd</v>
          </cell>
          <cell r="E234" t="str">
            <v>W-12</v>
          </cell>
          <cell r="DP234">
            <v>0</v>
          </cell>
        </row>
        <row r="235">
          <cell r="A235" t="str">
            <v>FS0933</v>
          </cell>
          <cell r="B235" t="str">
            <v>Clashnessie Bay</v>
          </cell>
          <cell r="C235" t="str">
            <v>FB0398</v>
          </cell>
          <cell r="D235" t="str">
            <v>Loch Duart Ltd</v>
          </cell>
          <cell r="E235" t="str">
            <v>M-8</v>
          </cell>
          <cell r="DP235">
            <v>0</v>
          </cell>
        </row>
        <row r="236">
          <cell r="A236" t="str">
            <v>FS1260</v>
          </cell>
          <cell r="B236" t="str">
            <v>Sound of Harris</v>
          </cell>
          <cell r="C236" t="str">
            <v>FB0398</v>
          </cell>
          <cell r="D236" t="str">
            <v>Loch Duart Ltd</v>
          </cell>
          <cell r="E236" t="str">
            <v>None</v>
          </cell>
          <cell r="DP236">
            <v>0</v>
          </cell>
        </row>
        <row r="237">
          <cell r="A237" t="str">
            <v>FS1280</v>
          </cell>
          <cell r="B237" t="str">
            <v>Loch Carnan</v>
          </cell>
          <cell r="C237" t="str">
            <v>FB0398</v>
          </cell>
          <cell r="D237" t="str">
            <v>Loch Duart Ltd</v>
          </cell>
          <cell r="E237" t="str">
            <v>W-17</v>
          </cell>
          <cell r="DP237">
            <v>0</v>
          </cell>
        </row>
        <row r="238">
          <cell r="A238" t="str">
            <v>FS1299</v>
          </cell>
          <cell r="B238" t="str">
            <v>Laxford Hatchery</v>
          </cell>
          <cell r="C238" t="str">
            <v>FB0398</v>
          </cell>
          <cell r="D238" t="str">
            <v>Loch Duart Ltd</v>
          </cell>
          <cell r="E238" t="str">
            <v>M-3</v>
          </cell>
          <cell r="DP238">
            <v>0</v>
          </cell>
        </row>
        <row r="239">
          <cell r="A239" t="str">
            <v>FS0986</v>
          </cell>
          <cell r="B239" t="str">
            <v>Graham Kerr Building</v>
          </cell>
          <cell r="C239" t="str">
            <v>FB0400</v>
          </cell>
          <cell r="D239" t="str">
            <v>Glasgow University</v>
          </cell>
          <cell r="DP239">
            <v>0</v>
          </cell>
        </row>
        <row r="240">
          <cell r="A240" t="str">
            <v>FS0995</v>
          </cell>
          <cell r="B240" t="str">
            <v>Zoology  Aquarium (Challenge Room)</v>
          </cell>
          <cell r="C240" t="str">
            <v>FB0405</v>
          </cell>
          <cell r="D240" t="str">
            <v>Aberdeen University</v>
          </cell>
          <cell r="DP240">
            <v>0</v>
          </cell>
        </row>
        <row r="241">
          <cell r="A241" t="str">
            <v>FS1040</v>
          </cell>
          <cell r="B241" t="str">
            <v>Zoology Aquarium</v>
          </cell>
          <cell r="C241" t="str">
            <v>FB0405</v>
          </cell>
          <cell r="D241" t="str">
            <v>Aberdeen University</v>
          </cell>
          <cell r="DP241">
            <v>0</v>
          </cell>
        </row>
        <row r="242">
          <cell r="A242" t="str">
            <v>FS1016</v>
          </cell>
          <cell r="B242" t="str">
            <v>Gatty Marine- Main Aquarium</v>
          </cell>
          <cell r="C242" t="str">
            <v>FB0411</v>
          </cell>
          <cell r="D242" t="str">
            <v>University of St. Andrews</v>
          </cell>
          <cell r="DP242">
            <v>0</v>
          </cell>
        </row>
        <row r="243">
          <cell r="A243" t="str">
            <v>FS1028</v>
          </cell>
          <cell r="B243" t="str">
            <v>Fjords Processing</v>
          </cell>
          <cell r="C243" t="str">
            <v>FB0414</v>
          </cell>
          <cell r="D243" t="str">
            <v>Fjords Processing Ltd</v>
          </cell>
          <cell r="E243" t="str">
            <v>O-3</v>
          </cell>
          <cell r="DP243">
            <v>0</v>
          </cell>
        </row>
        <row r="244">
          <cell r="A244" t="str">
            <v>FS0869</v>
          </cell>
          <cell r="B244" t="str">
            <v>Marine Farming Unit</v>
          </cell>
          <cell r="C244" t="str">
            <v>FB0439</v>
          </cell>
          <cell r="D244" t="str">
            <v>FAI Aquaculture Ltd</v>
          </cell>
          <cell r="E244" t="str">
            <v>M-32</v>
          </cell>
          <cell r="DP244">
            <v>0</v>
          </cell>
        </row>
        <row r="245">
          <cell r="A245" t="str">
            <v>FS0941</v>
          </cell>
          <cell r="B245" t="str">
            <v>FAI Aultbea</v>
          </cell>
          <cell r="C245" t="str">
            <v>FB0439</v>
          </cell>
          <cell r="D245" t="str">
            <v>FAI Aquaculture Ltd</v>
          </cell>
          <cell r="E245" t="str">
            <v>M-15</v>
          </cell>
          <cell r="DP245">
            <v>0</v>
          </cell>
        </row>
        <row r="246">
          <cell r="A246" t="str">
            <v>FS1065</v>
          </cell>
          <cell r="B246" t="str">
            <v>FAI Shetland</v>
          </cell>
          <cell r="C246" t="str">
            <v>FB0439</v>
          </cell>
          <cell r="D246" t="str">
            <v>FAI Aquaculture Ltd</v>
          </cell>
          <cell r="E246" t="str">
            <v>None</v>
          </cell>
          <cell r="DP246">
            <v>0</v>
          </cell>
        </row>
        <row r="247">
          <cell r="A247" t="str">
            <v>FS0292</v>
          </cell>
          <cell r="B247" t="str">
            <v>Bight of Foraness</v>
          </cell>
          <cell r="C247" t="str">
            <v>FB0440</v>
          </cell>
          <cell r="D247" t="str">
            <v>Grieg Seafood Shetland Ltd</v>
          </cell>
          <cell r="E247" t="str">
            <v>S-4</v>
          </cell>
          <cell r="DP247">
            <v>0</v>
          </cell>
        </row>
        <row r="248">
          <cell r="A248" t="str">
            <v>FS0333</v>
          </cell>
          <cell r="B248" t="str">
            <v>East Voe Laxfirth</v>
          </cell>
          <cell r="C248" t="str">
            <v>FB0440</v>
          </cell>
          <cell r="D248" t="str">
            <v>Grieg Seafood Shetland Ltd</v>
          </cell>
          <cell r="E248" t="str">
            <v>S-9</v>
          </cell>
          <cell r="DP248">
            <v>0</v>
          </cell>
        </row>
        <row r="249">
          <cell r="A249" t="str">
            <v>FS0408</v>
          </cell>
          <cell r="B249" t="str">
            <v>Poseidon</v>
          </cell>
          <cell r="C249" t="str">
            <v>FB0440</v>
          </cell>
          <cell r="D249" t="str">
            <v>Grieg Seafood Shetland Ltd</v>
          </cell>
          <cell r="E249" t="str">
            <v>S-4</v>
          </cell>
          <cell r="DP249">
            <v>0</v>
          </cell>
        </row>
        <row r="250">
          <cell r="A250" t="str">
            <v>FS0433</v>
          </cell>
          <cell r="B250" t="str">
            <v>Langa Isle (East)</v>
          </cell>
          <cell r="C250" t="str">
            <v>FB0440</v>
          </cell>
          <cell r="D250" t="str">
            <v>Grieg Seafood Shetland Ltd</v>
          </cell>
          <cell r="E250" t="str">
            <v>S-11</v>
          </cell>
          <cell r="DP250">
            <v>0</v>
          </cell>
        </row>
        <row r="251">
          <cell r="A251" t="str">
            <v>FS0447</v>
          </cell>
          <cell r="B251" t="str">
            <v>Papa</v>
          </cell>
          <cell r="C251" t="str">
            <v>FB0440</v>
          </cell>
          <cell r="D251" t="str">
            <v>Grieg Seafood Shetland Ltd</v>
          </cell>
          <cell r="E251" t="str">
            <v>S-11</v>
          </cell>
          <cell r="DP251">
            <v>0</v>
          </cell>
        </row>
        <row r="252">
          <cell r="A252" t="str">
            <v>FS0489</v>
          </cell>
          <cell r="B252" t="str">
            <v>Cole Deep</v>
          </cell>
          <cell r="C252" t="str">
            <v>FB0440</v>
          </cell>
          <cell r="D252" t="str">
            <v>Grieg Seafood Shetland Ltd</v>
          </cell>
          <cell r="E252" t="str">
            <v>S-8b</v>
          </cell>
          <cell r="DP252">
            <v>0</v>
          </cell>
        </row>
        <row r="253">
          <cell r="A253" t="str">
            <v>FS0501</v>
          </cell>
          <cell r="B253" t="str">
            <v>Taing of Railsbrough Catfirth</v>
          </cell>
          <cell r="C253" t="str">
            <v>FB0440</v>
          </cell>
          <cell r="D253" t="str">
            <v>Grieg Seafood Shetland Ltd</v>
          </cell>
          <cell r="E253" t="str">
            <v>S-9</v>
          </cell>
          <cell r="DP253">
            <v>0</v>
          </cell>
        </row>
        <row r="254">
          <cell r="A254" t="str">
            <v>FS0515</v>
          </cell>
          <cell r="B254" t="str">
            <v>North Papa</v>
          </cell>
          <cell r="C254" t="str">
            <v>FB0440</v>
          </cell>
          <cell r="D254" t="str">
            <v>Grieg Seafood Shetland Ltd</v>
          </cell>
          <cell r="E254" t="str">
            <v>S-11</v>
          </cell>
          <cell r="DP254">
            <v>0</v>
          </cell>
        </row>
        <row r="255">
          <cell r="A255" t="str">
            <v>FS0674</v>
          </cell>
          <cell r="B255" t="str">
            <v>North Havra</v>
          </cell>
          <cell r="C255" t="str">
            <v>FB0440</v>
          </cell>
          <cell r="D255" t="str">
            <v>Grieg Seafood Shetland Ltd</v>
          </cell>
          <cell r="E255" t="str">
            <v>S-11</v>
          </cell>
          <cell r="DP255">
            <v>0</v>
          </cell>
        </row>
        <row r="256">
          <cell r="A256" t="str">
            <v>FS0785</v>
          </cell>
          <cell r="B256" t="str">
            <v>Spoose Holm</v>
          </cell>
          <cell r="C256" t="str">
            <v>FB0440</v>
          </cell>
          <cell r="D256" t="str">
            <v>Grieg Seafood Shetland Ltd</v>
          </cell>
          <cell r="E256" t="str">
            <v>S-11</v>
          </cell>
          <cell r="DP256">
            <v>0</v>
          </cell>
        </row>
        <row r="257">
          <cell r="A257" t="str">
            <v>FS1175</v>
          </cell>
          <cell r="B257" t="str">
            <v>Gob na Hoe</v>
          </cell>
          <cell r="C257" t="str">
            <v>FB0440</v>
          </cell>
          <cell r="D257" t="str">
            <v>Grieg Seafood Shetland Ltd</v>
          </cell>
          <cell r="E257" t="str">
            <v>M-25</v>
          </cell>
          <cell r="CN257" t="str">
            <v>chemical treatment</v>
          </cell>
          <cell r="CO257">
            <v>1.9</v>
          </cell>
          <cell r="CQ257" t="str">
            <v>chemical treatment</v>
          </cell>
          <cell r="CR257">
            <v>7.08</v>
          </cell>
          <cell r="CT257" t="str">
            <v>chemical treatment</v>
          </cell>
          <cell r="CU257">
            <v>8.44</v>
          </cell>
          <cell r="CW257" t="str">
            <v>chemical treatment</v>
          </cell>
          <cell r="CZ257" t="str">
            <v>chemical treatment</v>
          </cell>
          <cell r="DA257">
            <v>7.04</v>
          </cell>
          <cell r="DC257" t="str">
            <v>chemical treatment</v>
          </cell>
          <cell r="DF257" t="str">
            <v>chemical treatment</v>
          </cell>
          <cell r="DG257">
            <v>6.96</v>
          </cell>
          <cell r="DI257" t="str">
            <v>chemical treatment</v>
          </cell>
          <cell r="DJ257" t="str">
            <v>no count</v>
          </cell>
          <cell r="DL257" t="str">
            <v>chemical treatment</v>
          </cell>
          <cell r="DM257">
            <v>4.5199999999999996</v>
          </cell>
          <cell r="DO257" t="str">
            <v>chemical treatment</v>
          </cell>
          <cell r="DP257">
            <v>1</v>
          </cell>
        </row>
        <row r="258">
          <cell r="A258" t="str">
            <v>FS0903</v>
          </cell>
          <cell r="B258" t="str">
            <v>Swining Voe 3</v>
          </cell>
          <cell r="C258" t="str">
            <v>FB0440</v>
          </cell>
          <cell r="D258" t="str">
            <v>Grieg Seafood Shetland Ltd</v>
          </cell>
          <cell r="E258" t="str">
            <v>S-4</v>
          </cell>
          <cell r="DP258">
            <v>0</v>
          </cell>
        </row>
        <row r="259">
          <cell r="A259" t="str">
            <v>FS0937</v>
          </cell>
          <cell r="B259" t="str">
            <v>West of Burwick</v>
          </cell>
          <cell r="C259" t="str">
            <v>FB0440</v>
          </cell>
          <cell r="D259" t="str">
            <v>Grieg Seafood Shetland Ltd</v>
          </cell>
          <cell r="E259" t="str">
            <v>S-11</v>
          </cell>
          <cell r="DP259">
            <v>0</v>
          </cell>
        </row>
        <row r="260">
          <cell r="A260" t="str">
            <v>FS0946</v>
          </cell>
          <cell r="B260" t="str">
            <v>North Voe</v>
          </cell>
          <cell r="C260" t="str">
            <v>FB0440</v>
          </cell>
          <cell r="D260" t="str">
            <v>Grieg Seafood Shetland Ltd</v>
          </cell>
          <cell r="E260" t="str">
            <v>S-5</v>
          </cell>
          <cell r="DP260">
            <v>0</v>
          </cell>
        </row>
        <row r="261">
          <cell r="A261" t="str">
            <v>FS0948</v>
          </cell>
          <cell r="B261" t="str">
            <v>Score Holms</v>
          </cell>
          <cell r="C261" t="str">
            <v>FB0440</v>
          </cell>
          <cell r="D261" t="str">
            <v>Grieg Seafood Shetland Ltd</v>
          </cell>
          <cell r="E261" t="str">
            <v>S-11</v>
          </cell>
          <cell r="DP261">
            <v>0</v>
          </cell>
        </row>
        <row r="262">
          <cell r="A262" t="str">
            <v>FS0999</v>
          </cell>
          <cell r="B262" t="str">
            <v>Collafirth 3</v>
          </cell>
          <cell r="C262" t="str">
            <v>FB0440</v>
          </cell>
          <cell r="D262" t="str">
            <v>Grieg Seafood Shetland Ltd</v>
          </cell>
          <cell r="E262" t="str">
            <v>S-4</v>
          </cell>
          <cell r="DP262">
            <v>0</v>
          </cell>
        </row>
        <row r="263">
          <cell r="A263" t="str">
            <v>FS1027</v>
          </cell>
          <cell r="B263" t="str">
            <v>Linga (Setterness)</v>
          </cell>
          <cell r="C263" t="str">
            <v>FB0440</v>
          </cell>
          <cell r="D263" t="str">
            <v>Grieg Seafood Shetland Ltd</v>
          </cell>
          <cell r="E263" t="str">
            <v>S-4</v>
          </cell>
          <cell r="DP263">
            <v>0</v>
          </cell>
        </row>
        <row r="264">
          <cell r="A264" t="str">
            <v>FS1076</v>
          </cell>
          <cell r="B264" t="str">
            <v>Setterness North (Bomlo)</v>
          </cell>
          <cell r="C264" t="str">
            <v>FB0440</v>
          </cell>
          <cell r="D264" t="str">
            <v>Grieg Seafood Shetland Ltd</v>
          </cell>
          <cell r="E264" t="str">
            <v>S-4</v>
          </cell>
          <cell r="DP264">
            <v>0</v>
          </cell>
        </row>
        <row r="265">
          <cell r="A265" t="str">
            <v>FS1099</v>
          </cell>
          <cell r="B265" t="str">
            <v>Gletness</v>
          </cell>
          <cell r="C265" t="str">
            <v>FB0440</v>
          </cell>
          <cell r="D265" t="str">
            <v>Grieg Seafood Shetland Ltd</v>
          </cell>
          <cell r="E265" t="str">
            <v>S-9</v>
          </cell>
          <cell r="DP265">
            <v>0</v>
          </cell>
        </row>
        <row r="266">
          <cell r="A266" t="str">
            <v>FS1114</v>
          </cell>
          <cell r="B266" t="str">
            <v>Hamar Sound</v>
          </cell>
          <cell r="C266" t="str">
            <v>FB0440</v>
          </cell>
          <cell r="D266" t="str">
            <v>Grieg Seafood Shetland Ltd</v>
          </cell>
          <cell r="E266" t="str">
            <v>S-8a</v>
          </cell>
          <cell r="DP266">
            <v>0</v>
          </cell>
        </row>
        <row r="267">
          <cell r="A267" t="str">
            <v>FS1115</v>
          </cell>
          <cell r="B267" t="str">
            <v>Geo of Valladale</v>
          </cell>
          <cell r="C267" t="str">
            <v>FB0440</v>
          </cell>
          <cell r="D267" t="str">
            <v>Grieg Seafood Shetland Ltd</v>
          </cell>
          <cell r="E267" t="str">
            <v>S-8a</v>
          </cell>
          <cell r="DP267">
            <v>0</v>
          </cell>
        </row>
        <row r="268">
          <cell r="A268" t="str">
            <v>FS1144</v>
          </cell>
          <cell r="B268" t="str">
            <v>Hamnavoe</v>
          </cell>
          <cell r="C268" t="str">
            <v>FB0440</v>
          </cell>
          <cell r="D268" t="str">
            <v>Grieg Seafood Shetland Ltd</v>
          </cell>
          <cell r="E268" t="str">
            <v>S-4</v>
          </cell>
          <cell r="DP268">
            <v>0</v>
          </cell>
        </row>
        <row r="269">
          <cell r="A269" t="str">
            <v>FS1287</v>
          </cell>
          <cell r="B269" t="str">
            <v>Corlarach</v>
          </cell>
          <cell r="C269" t="str">
            <v>FB0440</v>
          </cell>
          <cell r="D269" t="str">
            <v>Grieg Seafood Shetland Ltd</v>
          </cell>
          <cell r="E269" t="str">
            <v>M-25</v>
          </cell>
          <cell r="CN269" t="str">
            <v>chemical treatment</v>
          </cell>
          <cell r="CO269">
            <v>5.52</v>
          </cell>
          <cell r="CQ269" t="str">
            <v>chemical treatment</v>
          </cell>
          <cell r="CR269">
            <v>8.08</v>
          </cell>
          <cell r="CT269" t="str">
            <v>chemical treatment</v>
          </cell>
          <cell r="CU269">
            <v>6.85</v>
          </cell>
          <cell r="CW269" t="str">
            <v>chemical treatment</v>
          </cell>
          <cell r="CZ269" t="str">
            <v>chemical treatment</v>
          </cell>
          <cell r="DA269">
            <v>7.36</v>
          </cell>
          <cell r="DC269" t="str">
            <v>chemical treatment</v>
          </cell>
          <cell r="DD269">
            <v>4.88</v>
          </cell>
          <cell r="DF269" t="str">
            <v>chemical treatment</v>
          </cell>
          <cell r="DG269">
            <v>6.84</v>
          </cell>
          <cell r="DI269" t="str">
            <v>chemical treatment</v>
          </cell>
          <cell r="DJ269" t="str">
            <v>no count</v>
          </cell>
          <cell r="DL269" t="str">
            <v>chemical treatment</v>
          </cell>
          <cell r="DM269">
            <v>7.84</v>
          </cell>
          <cell r="DO269" t="str">
            <v>chemical treatment</v>
          </cell>
          <cell r="DP269">
            <v>1</v>
          </cell>
        </row>
        <row r="270">
          <cell r="A270" t="str">
            <v>FS1278</v>
          </cell>
          <cell r="B270" t="str">
            <v>East of Papa Little</v>
          </cell>
          <cell r="C270" t="str">
            <v>FB0440</v>
          </cell>
          <cell r="D270" t="str">
            <v>Grieg Seafood Shetland Ltd</v>
          </cell>
          <cell r="E270" t="str">
            <v>S-8b</v>
          </cell>
          <cell r="DP270">
            <v>0</v>
          </cell>
        </row>
        <row r="271">
          <cell r="A271" t="str">
            <v>FS1112</v>
          </cell>
          <cell r="B271" t="str">
            <v>Etive 4</v>
          </cell>
          <cell r="C271" t="str">
            <v>FB0456</v>
          </cell>
          <cell r="D271" t="str">
            <v>Dawnfresh Farming Ltd</v>
          </cell>
          <cell r="E271" t="str">
            <v>M-36</v>
          </cell>
          <cell r="DD271">
            <v>5</v>
          </cell>
          <cell r="DE271">
            <v>42712</v>
          </cell>
          <cell r="DF271" t="str">
            <v>Hydrolicer treatment booked and harvesting (expected to be fininshed by end of Dec 2016)</v>
          </cell>
          <cell r="DP271">
            <v>0</v>
          </cell>
        </row>
        <row r="272">
          <cell r="A272" t="str">
            <v>FS1096</v>
          </cell>
          <cell r="B272" t="str">
            <v>The Point Unit 2-3</v>
          </cell>
          <cell r="C272" t="str">
            <v>FB0446</v>
          </cell>
          <cell r="D272" t="str">
            <v>Seewoo Foods (Glasgow) Ltd</v>
          </cell>
          <cell r="DP272">
            <v>0</v>
          </cell>
        </row>
        <row r="273">
          <cell r="A273" t="str">
            <v>FS0056</v>
          </cell>
          <cell r="B273" t="str">
            <v>Ardmair</v>
          </cell>
          <cell r="C273" t="str">
            <v>FB0447</v>
          </cell>
          <cell r="D273" t="str">
            <v>Wester Ross Fisheries Ltd</v>
          </cell>
          <cell r="E273" t="str">
            <v>M-11</v>
          </cell>
          <cell r="DP273">
            <v>0</v>
          </cell>
        </row>
        <row r="274">
          <cell r="A274" t="str">
            <v>FS0057</v>
          </cell>
          <cell r="B274" t="str">
            <v>Corry Farm</v>
          </cell>
          <cell r="C274" t="str">
            <v>FB0447</v>
          </cell>
          <cell r="D274" t="str">
            <v>Wester Ross Fisheries Ltd</v>
          </cell>
          <cell r="E274" t="str">
            <v>M-12</v>
          </cell>
          <cell r="DP274">
            <v>0</v>
          </cell>
        </row>
        <row r="275">
          <cell r="A275" t="str">
            <v>FS0517</v>
          </cell>
          <cell r="B275" t="str">
            <v>Ardessie A</v>
          </cell>
          <cell r="C275" t="str">
            <v>FB0447</v>
          </cell>
          <cell r="D275" t="str">
            <v>Wester Ross Fisheries Ltd</v>
          </cell>
          <cell r="E275" t="str">
            <v>M-14</v>
          </cell>
          <cell r="DP275">
            <v>0</v>
          </cell>
        </row>
        <row r="276">
          <cell r="A276" t="str">
            <v>FS0675</v>
          </cell>
          <cell r="B276" t="str">
            <v>Ardessie B</v>
          </cell>
          <cell r="C276" t="str">
            <v>FB0447</v>
          </cell>
          <cell r="D276" t="str">
            <v>Wester Ross Fisheries Ltd</v>
          </cell>
          <cell r="E276" t="str">
            <v>M-14</v>
          </cell>
          <cell r="DP276">
            <v>0</v>
          </cell>
        </row>
        <row r="277">
          <cell r="A277" t="str">
            <v>FS0197</v>
          </cell>
          <cell r="B277" t="str">
            <v>Ardchattan Bay</v>
          </cell>
          <cell r="C277" t="str">
            <v>FB0456</v>
          </cell>
          <cell r="D277" t="str">
            <v>Dawnfresh Farming Ltd</v>
          </cell>
          <cell r="E277" t="str">
            <v>M-36</v>
          </cell>
          <cell r="DP277">
            <v>0</v>
          </cell>
        </row>
        <row r="278">
          <cell r="A278" t="str">
            <v>FS1067</v>
          </cell>
          <cell r="B278" t="str">
            <v>Inverawe (East) Etive 2</v>
          </cell>
          <cell r="C278" t="str">
            <v>FB0456</v>
          </cell>
          <cell r="D278" t="str">
            <v>Dawnfresh Farming Ltd</v>
          </cell>
          <cell r="E278" t="str">
            <v>M-36</v>
          </cell>
          <cell r="DP278">
            <v>0</v>
          </cell>
        </row>
        <row r="279">
          <cell r="A279" t="str">
            <v>FS1101</v>
          </cell>
          <cell r="B279" t="str">
            <v>Etive 3 (Port na Mine)</v>
          </cell>
          <cell r="C279" t="str">
            <v>FB0456</v>
          </cell>
          <cell r="D279" t="str">
            <v>Dawnfresh Farming Ltd</v>
          </cell>
          <cell r="E279" t="str">
            <v>M-36</v>
          </cell>
          <cell r="DP279">
            <v>0</v>
          </cell>
        </row>
        <row r="280">
          <cell r="A280" t="str">
            <v>FS0382</v>
          </cell>
          <cell r="B280" t="str">
            <v>Uyea Isle</v>
          </cell>
          <cell r="C280" t="str">
            <v>FB0095</v>
          </cell>
          <cell r="D280" t="str">
            <v>Cooke Aquaculture Scotland Ltd</v>
          </cell>
          <cell r="E280" t="str">
            <v>S-2</v>
          </cell>
          <cell r="CO280">
            <v>3.38</v>
          </cell>
          <cell r="CQ280" t="str">
            <v>Gill issues assessing viability of treatment</v>
          </cell>
          <cell r="CR280">
            <v>5.4</v>
          </cell>
          <cell r="CU280">
            <v>1.58</v>
          </cell>
          <cell r="CW280" t="str">
            <v>Gill issues assessing viability of treatment</v>
          </cell>
          <cell r="CX280">
            <v>1.83</v>
          </cell>
          <cell r="DA280">
            <v>5.36</v>
          </cell>
          <cell r="DD280">
            <v>3.06</v>
          </cell>
          <cell r="DF280" t="str">
            <v>H2O2 treatment 2.12.16 - 5.12.16</v>
          </cell>
          <cell r="DG280" t="str">
            <v>no count</v>
          </cell>
          <cell r="DJ280" t="str">
            <v>no count</v>
          </cell>
          <cell r="DM280">
            <v>0.72</v>
          </cell>
          <cell r="DP280">
            <v>0</v>
          </cell>
        </row>
        <row r="281">
          <cell r="A281" t="str">
            <v>FS1288</v>
          </cell>
          <cell r="B281" t="str">
            <v>Etive 6</v>
          </cell>
          <cell r="C281" t="str">
            <v>FB0456</v>
          </cell>
          <cell r="D281" t="str">
            <v>Dawnfresh Farming Ltd</v>
          </cell>
          <cell r="E281" t="str">
            <v>M-36</v>
          </cell>
          <cell r="DP281">
            <v>0</v>
          </cell>
        </row>
        <row r="282">
          <cell r="A282" t="str">
            <v>FS1265</v>
          </cell>
          <cell r="B282" t="str">
            <v>St Abbs Marine Station (Finfish)</v>
          </cell>
          <cell r="C282" t="str">
            <v>FB0554</v>
          </cell>
          <cell r="D282" t="str">
            <v>St Abbs Marine Station (Finfish)</v>
          </cell>
          <cell r="E282" t="str">
            <v>None</v>
          </cell>
          <cell r="DP282">
            <v>0</v>
          </cell>
        </row>
        <row r="283">
          <cell r="A283" t="str">
            <v>FS1270</v>
          </cell>
          <cell r="B283" t="str">
            <v>Ob nan Stearnain</v>
          </cell>
          <cell r="C283" t="str">
            <v>FB0558</v>
          </cell>
          <cell r="D283" t="str">
            <v>University of Nottingham</v>
          </cell>
          <cell r="DP283">
            <v>0</v>
          </cell>
        </row>
        <row r="284">
          <cell r="A284" t="str">
            <v>FS1292</v>
          </cell>
          <cell r="B284" t="str">
            <v>EPPE Centre</v>
          </cell>
          <cell r="C284" t="str">
            <v>FB0561</v>
          </cell>
          <cell r="D284" t="str">
            <v>EPP Ltd</v>
          </cell>
          <cell r="DP284">
            <v>0</v>
          </cell>
        </row>
        <row r="285">
          <cell r="A285" t="str">
            <v>FS1298</v>
          </cell>
          <cell r="B285" t="str">
            <v>Mull Aquarium</v>
          </cell>
          <cell r="C285" t="str">
            <v>FB0563</v>
          </cell>
          <cell r="D285" t="str">
            <v>Tobermory Harbour Association Ltd</v>
          </cell>
          <cell r="E285" t="str">
            <v>None</v>
          </cell>
          <cell r="DP285">
            <v>0</v>
          </cell>
        </row>
        <row r="286">
          <cell r="A286" t="str">
            <v>FS1306</v>
          </cell>
          <cell r="B286" t="str">
            <v>Machrihanish Hanger</v>
          </cell>
          <cell r="C286" t="str">
            <v>FB0565</v>
          </cell>
          <cell r="D286" t="str">
            <v>NIRI Scotland Ltd</v>
          </cell>
          <cell r="E286" t="str">
            <v>M-49</v>
          </cell>
          <cell r="DP286">
            <v>0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S102"/>
  <sheetViews>
    <sheetView workbookViewId="0">
      <selection activeCell="H53" sqref="H53"/>
    </sheetView>
  </sheetViews>
  <sheetFormatPr defaultColWidth="0" defaultRowHeight="0" customHeight="1" zeroHeight="1"/>
  <cols>
    <col min="1" max="8" width="13.42578125" style="4" customWidth="1"/>
    <col min="9" max="9" width="13.42578125" style="4" hidden="1" customWidth="1"/>
    <col min="10" max="10" width="0" style="7" hidden="1" customWidth="1"/>
    <col min="11" max="11" width="0" style="4" hidden="1" customWidth="1"/>
    <col min="12" max="16384" width="0" style="4" hidden="1"/>
  </cols>
  <sheetData>
    <row r="1" spans="1:71" ht="12.75" customHeight="1">
      <c r="A1" s="3"/>
      <c r="B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</row>
    <row r="2" spans="1:71" ht="12.75">
      <c r="A2" s="3"/>
      <c r="B2" s="6" t="s">
        <v>693</v>
      </c>
      <c r="E2" s="4" t="s">
        <v>687</v>
      </c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</row>
    <row r="3" spans="1:71" ht="13.5" thickBot="1">
      <c r="A3" s="3"/>
      <c r="B3" s="6"/>
      <c r="I3" s="13">
        <v>1</v>
      </c>
      <c r="J3" s="7" t="str">
        <f>A10</f>
        <v/>
      </c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</row>
    <row r="4" spans="1:71" ht="13.5" thickBot="1">
      <c r="A4" s="7" t="s">
        <v>690</v>
      </c>
      <c r="B4" s="19"/>
      <c r="C4" s="39" t="s">
        <v>627</v>
      </c>
      <c r="D4" s="40"/>
      <c r="E4" s="41" t="str">
        <f>IF(ISBLANK($B$4),"",VLOOKUP($B$4,#REF!,2,FALSE))</f>
        <v/>
      </c>
      <c r="F4" s="42"/>
      <c r="G4" s="43"/>
      <c r="H4" s="8"/>
      <c r="I4" s="17">
        <v>2</v>
      </c>
      <c r="J4" s="7" t="str">
        <f>B10</f>
        <v/>
      </c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</row>
    <row r="5" spans="1:71" ht="13.5" thickBot="1">
      <c r="A5" s="7"/>
      <c r="B5" s="7"/>
      <c r="C5" s="7"/>
      <c r="D5" s="7"/>
      <c r="E5" s="7"/>
      <c r="F5" s="7"/>
      <c r="G5" s="7"/>
      <c r="H5" s="7"/>
      <c r="I5" s="13">
        <v>3</v>
      </c>
      <c r="J5" s="7" t="str">
        <f>C10</f>
        <v/>
      </c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</row>
    <row r="6" spans="1:71" ht="12" customHeight="1" thickBot="1">
      <c r="A6" s="7" t="s">
        <v>689</v>
      </c>
      <c r="B6" s="12" t="str">
        <f>IF(ISBLANK($B$4),"",VLOOKUP($B$4,#REF!,4,FALSE))</f>
        <v/>
      </c>
      <c r="C6" s="39" t="s">
        <v>628</v>
      </c>
      <c r="D6" s="40"/>
      <c r="E6" s="41" t="str">
        <f>IF(ISBLANK($B$4),"",VLOOKUP($B$4,#REF!,3,FALSE))</f>
        <v/>
      </c>
      <c r="F6" s="42"/>
      <c r="G6" s="43"/>
      <c r="H6" s="8"/>
      <c r="I6" s="17">
        <v>4</v>
      </c>
      <c r="J6" s="7" t="str">
        <f>D10</f>
        <v/>
      </c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</row>
    <row r="7" spans="1:71" ht="12.75">
      <c r="I7" s="13">
        <v>5</v>
      </c>
      <c r="J7" s="7" t="str">
        <f>E10</f>
        <v/>
      </c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</row>
    <row r="8" spans="1:71" ht="12.75">
      <c r="I8" s="17">
        <v>6</v>
      </c>
      <c r="J8" s="7" t="str">
        <f>F10</f>
        <v/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</row>
    <row r="9" spans="1:71" ht="13.5" thickBot="1">
      <c r="A9" s="7" t="s">
        <v>642</v>
      </c>
      <c r="B9" s="7" t="s">
        <v>643</v>
      </c>
      <c r="C9" s="7" t="s">
        <v>644</v>
      </c>
      <c r="D9" s="7" t="s">
        <v>645</v>
      </c>
      <c r="E9" s="7" t="s">
        <v>646</v>
      </c>
      <c r="F9" s="7" t="s">
        <v>647</v>
      </c>
      <c r="G9" s="7" t="s">
        <v>648</v>
      </c>
      <c r="H9" s="7"/>
      <c r="I9" s="13">
        <v>7</v>
      </c>
      <c r="J9" s="7" t="str">
        <f>G10</f>
        <v/>
      </c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</row>
    <row r="10" spans="1:71" s="7" customFormat="1" ht="13.5" thickBot="1">
      <c r="A10" s="12" t="str">
        <f>IF(ISBLANK($B$4),"",(IF(ISBLANK(VLOOKUP($B$4,#REF!,12,FALSE)),"No Data",VLOOKUP($B$4,#REF!,12,FALSE))))</f>
        <v/>
      </c>
      <c r="B10" s="12" t="str">
        <f>IF(ISBLANK($B$4),"",(IF(ISBLANK(VLOOKUP($B$4,#REF!,15,FALSE)),"No Data",VLOOKUP($B$4,#REF!,15,FALSE))))</f>
        <v/>
      </c>
      <c r="C10" s="12" t="str">
        <f>IF(ISBLANK($B$4),"",(IF(ISBLANK(VLOOKUP($B$4,#REF!,18,FALSE)),"No Data",VLOOKUP($B$4,#REF!,18,FALSE))))</f>
        <v/>
      </c>
      <c r="D10" s="12" t="str">
        <f>IF(ISBLANK($B$4),"",(IF(ISBLANK(VLOOKUP($B$4,#REF!,21,FALSE)),"No Data",VLOOKUP($B$4,#REF!,21,FALSE))))</f>
        <v/>
      </c>
      <c r="E10" s="12" t="str">
        <f>IF(ISBLANK($B$4),"",(IF(ISBLANK(VLOOKUP($B$4,#REF!,24,FALSE)),"No Data",VLOOKUP($B$4,#REF!,24,FALSE))))</f>
        <v/>
      </c>
      <c r="F10" s="12" t="str">
        <f>IF(ISBLANK($B$4),"",(IF(ISBLANK(VLOOKUP($B$4,#REF!,27,FALSE)),"No Data",VLOOKUP($B$4,#REF!,27,FALSE))))</f>
        <v/>
      </c>
      <c r="G10" s="12" t="str">
        <f>IF(ISBLANK($B$4),"",(IF(ISBLANK(VLOOKUP($B$4,#REF!,30,FALSE)),"No Data",VLOOKUP($B$4,#REF!,30,FALSE))))</f>
        <v/>
      </c>
      <c r="H10" s="8"/>
      <c r="I10" s="17">
        <v>8</v>
      </c>
      <c r="J10" s="7" t="str">
        <f>A13</f>
        <v/>
      </c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</row>
    <row r="11" spans="1:71" ht="12.75">
      <c r="A11" s="8"/>
      <c r="B11" s="8"/>
      <c r="C11" s="8"/>
      <c r="D11" s="8"/>
      <c r="E11" s="8"/>
      <c r="F11" s="8"/>
      <c r="G11" s="8"/>
      <c r="H11" s="8"/>
      <c r="I11" s="13">
        <v>9</v>
      </c>
      <c r="J11" s="7" t="str">
        <f>B13</f>
        <v/>
      </c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</row>
    <row r="12" spans="1:71" ht="13.5" thickBot="1">
      <c r="A12" s="8" t="s">
        <v>649</v>
      </c>
      <c r="B12" s="8" t="s">
        <v>650</v>
      </c>
      <c r="C12" s="8" t="s">
        <v>651</v>
      </c>
      <c r="D12" s="8" t="s">
        <v>652</v>
      </c>
      <c r="E12" s="8" t="s">
        <v>653</v>
      </c>
      <c r="F12" s="8" t="s">
        <v>654</v>
      </c>
      <c r="G12" s="8" t="s">
        <v>655</v>
      </c>
      <c r="H12" s="8"/>
      <c r="I12" s="17">
        <v>10</v>
      </c>
      <c r="J12" s="7" t="str">
        <f>C13</f>
        <v/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</row>
    <row r="13" spans="1:71" s="9" customFormat="1" ht="13.5" thickBot="1">
      <c r="A13" s="12" t="str">
        <f>IF(ISBLANK($B$4),"",(IF(ISBLANK(VLOOKUP($B$4,#REF!,33,FALSE)),"No Data",VLOOKUP($B$4,#REF!,33,FALSE))))</f>
        <v/>
      </c>
      <c r="B13" s="12" t="str">
        <f>IF(ISBLANK($B$4),"",(IF(ISBLANK(VLOOKUP($B$4,#REF!,36,FALSE)),"No Data",VLOOKUP($B$4,#REF!,36,FALSE))))</f>
        <v/>
      </c>
      <c r="C13" s="12" t="str">
        <f>IF(ISBLANK($B$4),"",(IF(ISBLANK(VLOOKUP($B$4,#REF!,39,FALSE)),"No Data",VLOOKUP($B$4,#REF!,39,FALSE))))</f>
        <v/>
      </c>
      <c r="D13" s="12" t="str">
        <f>IF(ISBLANK($B$4),"",(IF(ISBLANK(VLOOKUP($B$4,#REF!,42,FALSE)),"No Data",VLOOKUP($B$4,#REF!,42,FALSE))))</f>
        <v/>
      </c>
      <c r="E13" s="12" t="str">
        <f>IF(ISBLANK($B$4),"",(IF(ISBLANK(VLOOKUP($B$4,#REF!,45,FALSE)),"No Data",VLOOKUP($B$4,#REF!,45,FALSE))))</f>
        <v/>
      </c>
      <c r="F13" s="12" t="str">
        <f>IF(ISBLANK($B$4),"",(IF(ISBLANK(VLOOKUP($B$4,#REF!,48,FALSE)),"No Data",VLOOKUP($B$4,#REF!,48,FALSE))))</f>
        <v/>
      </c>
      <c r="G13" s="12" t="str">
        <f>IF(ISBLANK($B$4),"",(IF(ISBLANK(VLOOKUP($B$4,#REF!,51,FALSE)),"No Data",VLOOKUP($B$4,#REF!,51,FALSE))))</f>
        <v/>
      </c>
      <c r="H13" s="8"/>
      <c r="I13" s="13">
        <v>11</v>
      </c>
      <c r="J13" s="7" t="str">
        <f>D13</f>
        <v/>
      </c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</row>
    <row r="14" spans="1:71" ht="12.75">
      <c r="A14" s="8"/>
      <c r="B14" s="8"/>
      <c r="C14" s="8"/>
      <c r="D14" s="8"/>
      <c r="E14" s="8"/>
      <c r="F14" s="8"/>
      <c r="G14" s="8"/>
      <c r="H14" s="8"/>
      <c r="I14" s="17">
        <v>12</v>
      </c>
      <c r="J14" s="7" t="str">
        <f>E13</f>
        <v/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</row>
    <row r="15" spans="1:71" ht="13.5" thickBot="1">
      <c r="A15" s="8" t="s">
        <v>656</v>
      </c>
      <c r="B15" s="8" t="s">
        <v>657</v>
      </c>
      <c r="C15" s="8" t="s">
        <v>658</v>
      </c>
      <c r="D15" s="8" t="s">
        <v>659</v>
      </c>
      <c r="E15" s="8" t="s">
        <v>660</v>
      </c>
      <c r="F15" s="8" t="s">
        <v>661</v>
      </c>
      <c r="G15" s="8" t="s">
        <v>662</v>
      </c>
      <c r="H15" s="8"/>
      <c r="I15" s="13">
        <v>13</v>
      </c>
      <c r="J15" s="7" t="str">
        <f>F13</f>
        <v/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</row>
    <row r="16" spans="1:71" s="7" customFormat="1" ht="13.5" thickBot="1">
      <c r="A16" s="12" t="str">
        <f>IF(ISBLANK($B$4),"",(IF(ISBLANK(VLOOKUP($B$4,#REF!,54,FALSE)),"No Data",VLOOKUP($B$4,#REF!,54,FALSE))))</f>
        <v/>
      </c>
      <c r="B16" s="12" t="str">
        <f>IF(ISBLANK($B$4),"",(IF(ISBLANK(VLOOKUP($B$4,#REF!,57,FALSE)),"No Data",VLOOKUP($B$4,#REF!,57,FALSE))))</f>
        <v/>
      </c>
      <c r="C16" s="12" t="str">
        <f>IF(ISBLANK($B$4),"",(IF(ISBLANK(VLOOKUP($B$4,#REF!,60,FALSE)),"No Data",VLOOKUP($B$4,#REF!,60,FALSE))))</f>
        <v/>
      </c>
      <c r="D16" s="12" t="str">
        <f>IF(ISBLANK($B$4),"",(IF(ISBLANK(VLOOKUP($B$4,#REF!,63,FALSE)),"No Data",VLOOKUP($B$4,#REF!,63,FALSE))))</f>
        <v/>
      </c>
      <c r="E16" s="12" t="str">
        <f>IF(ISBLANK($B$4),"",(IF(ISBLANK(VLOOKUP($B$4,#REF!,66,FALSE)),"No Data",VLOOKUP($B$4,#REF!,66,FALSE))))</f>
        <v/>
      </c>
      <c r="F16" s="12" t="str">
        <f>IF(ISBLANK($B$4),"",(IF(ISBLANK(VLOOKUP($B$4,#REF!,69,FALSE)),"No Data",VLOOKUP($B$4,#REF!,69,FALSE))))</f>
        <v/>
      </c>
      <c r="G16" s="12" t="str">
        <f>IF(ISBLANK($B$4),"",(IF(ISBLANK(VLOOKUP($B$4,#REF!,72,FALSE)),"No Data", VLOOKUP($B$4,#REF!,72,FALSE))))</f>
        <v/>
      </c>
      <c r="H16" s="8"/>
      <c r="I16" s="17">
        <v>14</v>
      </c>
      <c r="J16" s="7" t="str">
        <f>G13</f>
        <v/>
      </c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</row>
    <row r="17" spans="1:71" ht="12.75">
      <c r="A17" s="8"/>
      <c r="B17" s="8"/>
      <c r="C17" s="8"/>
      <c r="D17" s="8"/>
      <c r="E17" s="8"/>
      <c r="F17" s="8"/>
      <c r="G17" s="8"/>
      <c r="H17" s="8"/>
      <c r="I17" s="13">
        <v>15</v>
      </c>
      <c r="J17" s="7" t="str">
        <f>A16</f>
        <v/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</row>
    <row r="18" spans="1:71" ht="13.5" thickBot="1">
      <c r="A18" s="8" t="s">
        <v>663</v>
      </c>
      <c r="B18" s="8" t="s">
        <v>664</v>
      </c>
      <c r="C18" s="8" t="s">
        <v>665</v>
      </c>
      <c r="D18" s="8" t="s">
        <v>666</v>
      </c>
      <c r="E18" s="8" t="s">
        <v>667</v>
      </c>
      <c r="F18" s="8" t="s">
        <v>668</v>
      </c>
      <c r="G18" s="8" t="s">
        <v>669</v>
      </c>
      <c r="H18" s="8"/>
      <c r="I18" s="17">
        <v>16</v>
      </c>
      <c r="J18" s="7" t="str">
        <f>B16</f>
        <v/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</row>
    <row r="19" spans="1:71" s="7" customFormat="1" ht="13.5" thickBot="1">
      <c r="A19" s="12" t="str">
        <f>IF(ISBLANK($B$4),"",(IF(ISBLANK(VLOOKUP($B$4,#REF!,75,FALSE)),"No Data", VLOOKUP($B$4,#REF!,75,FALSE))))</f>
        <v/>
      </c>
      <c r="B19" s="12" t="str">
        <f>IF(ISBLANK($B$4),"",(IF(ISBLANK(VLOOKUP($B$4,#REF!,78,FALSE)),"No Data", VLOOKUP($B$4,#REF!,78,FALSE))))</f>
        <v/>
      </c>
      <c r="C19" s="12" t="str">
        <f>IF(ISBLANK($B$4),"",(IF(ISBLANK(VLOOKUP($B$4,#REF!,81,FALSE)),"No Data", VLOOKUP($B$4,#REF!,81,FALSE))))</f>
        <v/>
      </c>
      <c r="D19" s="12" t="str">
        <f>IF(ISBLANK($B$4),"",(IF(ISBLANK(VLOOKUP($B$4,#REF!,84,FALSE)),"No Data", VLOOKUP($B$4,#REF!,84,FALSE))))</f>
        <v/>
      </c>
      <c r="E19" s="12" t="str">
        <f>IF(ISBLANK($B$4),"",(IF(ISBLANK(VLOOKUP($B$4,#REF!,87,FALSE)),"No Data", VLOOKUP($B$4,#REF!,87,FALSE))))</f>
        <v/>
      </c>
      <c r="F19" s="12" t="str">
        <f>IF(ISBLANK($B$4),"",(IF(ISBLANK(VLOOKUP($B$4,#REF!,90,FALSE)),"No Data", VLOOKUP($B$4,#REF!,90,FALSE))))</f>
        <v/>
      </c>
      <c r="G19" s="12" t="str">
        <f>IF(ISBLANK($B$4),"",(IF(ISBLANK(VLOOKUP($B$4,#REF!,93,FALSE)),"No Data", VLOOKUP($B$4,#REF!,93,FALSE))))</f>
        <v/>
      </c>
      <c r="H19" s="8"/>
      <c r="I19" s="13">
        <v>17</v>
      </c>
      <c r="J19" s="7" t="str">
        <f>C16</f>
        <v/>
      </c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</row>
    <row r="20" spans="1:71" ht="12.75">
      <c r="A20" s="8"/>
      <c r="B20" s="8"/>
      <c r="C20" s="8"/>
      <c r="D20" s="8"/>
      <c r="E20" s="8"/>
      <c r="F20" s="8"/>
      <c r="G20" s="8"/>
      <c r="H20" s="8"/>
      <c r="I20" s="17">
        <v>18</v>
      </c>
      <c r="J20" s="7" t="str">
        <f>D16</f>
        <v/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</row>
    <row r="21" spans="1:71" ht="13.5" thickBot="1">
      <c r="A21" s="8" t="s">
        <v>670</v>
      </c>
      <c r="B21" s="8" t="s">
        <v>671</v>
      </c>
      <c r="C21" s="8" t="s">
        <v>672</v>
      </c>
      <c r="D21" s="8" t="s">
        <v>673</v>
      </c>
      <c r="E21" s="8" t="s">
        <v>674</v>
      </c>
      <c r="F21" s="8" t="s">
        <v>675</v>
      </c>
      <c r="G21" s="8" t="s">
        <v>676</v>
      </c>
      <c r="H21" s="8"/>
      <c r="I21" s="13">
        <v>19</v>
      </c>
      <c r="J21" s="7" t="str">
        <f>E16</f>
        <v/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</row>
    <row r="22" spans="1:71" s="7" customFormat="1" ht="13.5" thickBot="1">
      <c r="A22" s="12" t="str">
        <f>IF(ISBLANK($B$4),"",(IF(ISBLANK(VLOOKUP($B$4,#REF!,96,FALSE)),"No Data", VLOOKUP($B$4,#REF!,96,FALSE))))</f>
        <v/>
      </c>
      <c r="B22" s="12" t="str">
        <f>IF(ISBLANK($B$4),"",(IF(ISBLANK(VLOOKUP($B$4,#REF!,99,FALSE)),"No Data", VLOOKUP($B$4,#REF!,99,FALSE))))</f>
        <v/>
      </c>
      <c r="C22" s="12" t="str">
        <f>IF(ISBLANK($B$4),"",(IF(ISBLANK(VLOOKUP($B$4,#REF!,102,FALSE)),"No Data", VLOOKUP($B$4,#REF!,102,FALSE))))</f>
        <v/>
      </c>
      <c r="D22" s="12" t="str">
        <f>IF(ISBLANK($B$4),"",(IF(ISBLANK(VLOOKUP($B$4,#REF!,105,FALSE)),"No Data", VLOOKUP($B$4,#REF!,105,FALSE))))</f>
        <v/>
      </c>
      <c r="E22" s="12" t="str">
        <f>IF(ISBLANK($B$4),"",(IF(ISBLANK(VLOOKUP($B$4,#REF!,108,FALSE)),"No Data", VLOOKUP($B$4,#REF!,108,FALSE))))</f>
        <v/>
      </c>
      <c r="F22" s="12" t="str">
        <f>IF(ISBLANK($B$4),"",(IF(ISBLANK(VLOOKUP($B$4,#REF!,111,FALSE)),"No Data", VLOOKUP($B$4,#REF!,111,FALSE))))</f>
        <v/>
      </c>
      <c r="G22" s="12" t="str">
        <f>IF(ISBLANK($B$4),"",(IF(ISBLANK(VLOOKUP($B$4,#REF!,114,FALSE)),"No Data",VLOOKUP($B$4,#REF!,114,FALSE))))</f>
        <v/>
      </c>
      <c r="H22" s="8"/>
      <c r="I22" s="17">
        <v>20</v>
      </c>
      <c r="J22" s="7" t="str">
        <f>F16</f>
        <v/>
      </c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</row>
    <row r="23" spans="1:71" ht="12.75">
      <c r="A23" s="8"/>
      <c r="B23" s="8"/>
      <c r="C23" s="8"/>
      <c r="D23" s="8"/>
      <c r="E23" s="8"/>
      <c r="F23" s="8"/>
      <c r="G23" s="8"/>
      <c r="H23" s="8"/>
      <c r="I23" s="13">
        <v>21</v>
      </c>
      <c r="J23" s="7" t="str">
        <f>G16</f>
        <v/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</row>
    <row r="24" spans="1:71" ht="13.5" thickBot="1">
      <c r="A24" s="8" t="s">
        <v>677</v>
      </c>
      <c r="B24" s="8" t="s">
        <v>678</v>
      </c>
      <c r="C24" s="8" t="s">
        <v>679</v>
      </c>
      <c r="D24" s="8" t="s">
        <v>680</v>
      </c>
      <c r="E24" s="8" t="s">
        <v>681</v>
      </c>
      <c r="F24" s="8" t="s">
        <v>682</v>
      </c>
      <c r="G24" s="8" t="s">
        <v>683</v>
      </c>
      <c r="H24" s="8"/>
      <c r="I24" s="17">
        <v>22</v>
      </c>
      <c r="J24" s="7" t="str">
        <f>A19</f>
        <v/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</row>
    <row r="25" spans="1:71" s="9" customFormat="1" ht="13.5" thickBot="1">
      <c r="A25" s="12" t="str">
        <f>IF(ISBLANK($B$4),"",(IF(ISBLANK(VLOOKUP($B$4,#REF!,117,FALSE)),"No Data",VLOOKUP($B$4,#REF!,117,FALSE))))</f>
        <v/>
      </c>
      <c r="B25" s="12" t="str">
        <f>IF(ISBLANK($B$4),"",(IF(ISBLANK(VLOOKUP($B$4,#REF!,120,FALSE)),"No Data",VLOOKUP($B$4,#REF!,120,FALSE))))</f>
        <v/>
      </c>
      <c r="C25" s="12" t="str">
        <f>IF(ISBLANK($B$4),"",(IF(ISBLANK(VLOOKUP($B$4,#REF!,123,FALSE)),"No Data",VLOOKUP($B$4,#REF!,123,FALSE))))</f>
        <v/>
      </c>
      <c r="D25" s="12" t="str">
        <f>IF(ISBLANK($B$4),"",(IF(ISBLANK(VLOOKUP($B$4,#REF!,126,FALSE)),"No Data",VLOOKUP($B$4,#REF!,126,FALSE))))</f>
        <v/>
      </c>
      <c r="E25" s="12" t="str">
        <f>IF(ISBLANK($B$4),"",(IF(ISBLANK(VLOOKUP($B$4,#REF!,129,FALSE)),"No Data",VLOOKUP($B$4,#REF!,129,FALSE))))</f>
        <v/>
      </c>
      <c r="F25" s="12" t="str">
        <f>IF(ISBLANK($B$4),"",(IF(ISBLANK(VLOOKUP($B$4,#REF!,132,FALSE)),"No Data",VLOOKUP($B$4,#REF!,132,FALSE))))</f>
        <v/>
      </c>
      <c r="G25" s="12" t="str">
        <f>IF(ISBLANK($B$4),"",(IF(ISBLANK(VLOOKUP($B$4,#REF!,135,FALSE)),"No Data",VLOOKUP($B$4,#REF!,135,FALSE))))</f>
        <v/>
      </c>
      <c r="H25" s="8"/>
      <c r="I25" s="13">
        <v>23</v>
      </c>
      <c r="J25" s="7" t="str">
        <f>B19</f>
        <v/>
      </c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</row>
    <row r="26" spans="1:71" ht="12.75">
      <c r="A26" s="8"/>
      <c r="B26" s="8"/>
      <c r="C26" s="8"/>
      <c r="D26" s="8"/>
      <c r="E26" s="8"/>
      <c r="F26" s="8"/>
      <c r="G26" s="8"/>
      <c r="H26" s="8"/>
      <c r="I26" s="17">
        <v>24</v>
      </c>
      <c r="J26" s="7" t="str">
        <f>C19</f>
        <v/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</row>
    <row r="27" spans="1:71" ht="13.5" thickBot="1">
      <c r="A27" s="8" t="s">
        <v>632</v>
      </c>
      <c r="B27" s="8" t="s">
        <v>633</v>
      </c>
      <c r="C27" s="8" t="s">
        <v>634</v>
      </c>
      <c r="D27" s="8" t="s">
        <v>635</v>
      </c>
      <c r="E27" s="8" t="s">
        <v>636</v>
      </c>
      <c r="F27" s="8" t="s">
        <v>637</v>
      </c>
      <c r="G27" s="8" t="s">
        <v>638</v>
      </c>
      <c r="H27" s="8"/>
      <c r="I27" s="13">
        <v>25</v>
      </c>
      <c r="J27" s="7" t="str">
        <f>D19</f>
        <v/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</row>
    <row r="28" spans="1:71" s="7" customFormat="1" ht="13.5" thickBot="1">
      <c r="A28" s="12" t="str">
        <f>IF(ISBLANK($B$4),"",(IF(ISBLANK(VLOOKUP($B$4,#REF!,138,FALSE)),"No Data",VLOOKUP($B$4,#REF!,138,FALSE))))</f>
        <v/>
      </c>
      <c r="B28" s="12" t="str">
        <f>IF(ISBLANK($B$4),"",(IF(ISBLANK(VLOOKUP($B$4,#REF!,141,FALSE)),"No Data",VLOOKUP($B$4,#REF!,141,FALSE))))</f>
        <v/>
      </c>
      <c r="C28" s="12" t="str">
        <f>IF(ISBLANK($B$4),"",(IF(ISBLANK(VLOOKUP($B$4,#REF!,144,FALSE)),"No Data",VLOOKUP($B$4,#REF!,144,FALSE))))</f>
        <v/>
      </c>
      <c r="D28" s="12" t="str">
        <f>IF(ISBLANK($B$4),"",(IF(ISBLANK(VLOOKUP($B$4,#REF!,147,FALSE)),"No Data",VLOOKUP($B$4,#REF!,147,FALSE))))</f>
        <v/>
      </c>
      <c r="E28" s="12" t="str">
        <f>IF(ISBLANK($B$4),"",(IF(ISBLANK(VLOOKUP($B$4,#REF!,150,FALSE)),"No Data",VLOOKUP($B$4,#REF!,150,FALSE))))</f>
        <v/>
      </c>
      <c r="F28" s="12" t="str">
        <f>IF(ISBLANK($B$4),"",(IF(ISBLANK(VLOOKUP($B$4,#REF!,153,FALSE)),"No Data",VLOOKUP($B$4,#REF!,153,FALSE))))</f>
        <v/>
      </c>
      <c r="G28" s="12" t="str">
        <f>IF(ISBLANK($B$4),"",(IF(ISBLANK(VLOOKUP($B$4,#REF!,156,FALSE)),"No Data",VLOOKUP($B$4,#REF!,156,FALSE))))</f>
        <v/>
      </c>
      <c r="H28" s="8"/>
      <c r="I28" s="17">
        <v>26</v>
      </c>
      <c r="J28" s="7" t="str">
        <f>E19</f>
        <v/>
      </c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</row>
    <row r="29" spans="1:71" ht="12.75">
      <c r="A29" s="8"/>
      <c r="B29" s="8"/>
      <c r="C29" s="8"/>
      <c r="D29" s="8"/>
      <c r="E29" s="8"/>
      <c r="F29" s="8"/>
      <c r="G29" s="8"/>
      <c r="H29" s="8"/>
      <c r="I29" s="13">
        <v>27</v>
      </c>
      <c r="J29" s="7" t="str">
        <f>F19</f>
        <v/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</row>
    <row r="30" spans="1:71" ht="13.5" thickBot="1">
      <c r="A30" s="8" t="s">
        <v>639</v>
      </c>
      <c r="B30" s="8" t="s">
        <v>640</v>
      </c>
      <c r="C30" s="8" t="s">
        <v>641</v>
      </c>
      <c r="D30" s="8"/>
      <c r="E30" s="8"/>
      <c r="F30" s="8"/>
      <c r="G30" s="8"/>
      <c r="H30" s="8"/>
      <c r="I30" s="17">
        <v>28</v>
      </c>
      <c r="J30" s="7" t="str">
        <f>G19</f>
        <v/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</row>
    <row r="31" spans="1:71" s="7" customFormat="1" ht="13.5" thickBot="1">
      <c r="A31" s="12" t="str">
        <f>IF(ISBLANK($B$4),"",(IF(ISBLANK(VLOOKUP($B$4,#REF!,159,FALSE)),"No Data",VLOOKUP($B$4,#REF!,159,FALSE))))</f>
        <v/>
      </c>
      <c r="B31" s="12" t="str">
        <f>IF(ISBLANK($B$4),"",(IF(ISBLANK(VLOOKUP($B$4,#REF!,162,FALSE)),"No Data",VLOOKUP($B$4,#REF!,162,FALSE))))</f>
        <v/>
      </c>
      <c r="C31" s="12" t="str">
        <f>IF(ISBLANK($B$4),"",(IF(ISBLANK(VLOOKUP($B$4,#REF!,165,FALSE)),"No Data",VLOOKUP($B$4,#REF!,165,FALSE))))</f>
        <v/>
      </c>
      <c r="D31" s="8"/>
      <c r="E31" s="8"/>
      <c r="F31" s="8"/>
      <c r="G31" s="8"/>
      <c r="H31" s="8"/>
      <c r="I31" s="13">
        <v>29</v>
      </c>
      <c r="J31" s="7" t="str">
        <f>A22</f>
        <v/>
      </c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</row>
    <row r="32" spans="1:71" ht="12.75">
      <c r="A32" s="7"/>
      <c r="B32" s="7"/>
      <c r="C32" s="7"/>
      <c r="D32" s="7"/>
      <c r="E32" s="7"/>
      <c r="F32" s="7"/>
      <c r="G32" s="7"/>
      <c r="H32" s="7"/>
      <c r="I32" s="17">
        <v>30</v>
      </c>
      <c r="J32" s="7" t="str">
        <f>B22</f>
        <v/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</row>
    <row r="33" spans="1:71" ht="12.75">
      <c r="A33" s="11" t="s">
        <v>691</v>
      </c>
      <c r="B33" s="7"/>
      <c r="C33" s="7"/>
      <c r="D33" s="7"/>
      <c r="E33" s="7"/>
      <c r="F33" s="7"/>
      <c r="G33" s="7"/>
      <c r="H33" s="7"/>
      <c r="I33" s="13">
        <v>31</v>
      </c>
      <c r="J33" s="7" t="str">
        <f>C22</f>
        <v/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</row>
    <row r="34" spans="1:71" ht="12.75">
      <c r="I34" s="17">
        <v>32</v>
      </c>
      <c r="J34" s="7" t="str">
        <f>D22</f>
        <v/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</row>
    <row r="35" spans="1:71" ht="12.75">
      <c r="I35" s="13">
        <v>33</v>
      </c>
      <c r="J35" s="7" t="str">
        <f>E22</f>
        <v/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</row>
    <row r="36" spans="1:71" ht="12.75">
      <c r="I36" s="17">
        <v>34</v>
      </c>
      <c r="J36" s="7" t="str">
        <f>F22</f>
        <v/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</row>
    <row r="37" spans="1:71" ht="12.75">
      <c r="I37" s="13">
        <v>35</v>
      </c>
      <c r="J37" s="7" t="str">
        <f>G22</f>
        <v/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</row>
    <row r="38" spans="1:71" ht="12.75">
      <c r="I38" s="17">
        <v>36</v>
      </c>
      <c r="J38" s="7" t="str">
        <f>A25</f>
        <v/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</row>
    <row r="39" spans="1:71" ht="12.75">
      <c r="I39" s="13">
        <v>37</v>
      </c>
      <c r="J39" s="7" t="str">
        <f>B25</f>
        <v/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</row>
    <row r="40" spans="1:71" ht="12.75">
      <c r="I40" s="17">
        <v>38</v>
      </c>
      <c r="J40" s="7" t="str">
        <f>C25</f>
        <v/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</row>
    <row r="41" spans="1:71" ht="12.75">
      <c r="I41" s="13">
        <v>39</v>
      </c>
      <c r="J41" s="7" t="str">
        <f>D25</f>
        <v/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</row>
    <row r="42" spans="1:71" ht="12.75">
      <c r="I42" s="17">
        <v>40</v>
      </c>
      <c r="J42" s="7" t="str">
        <f>E25</f>
        <v/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</row>
    <row r="43" spans="1:71" ht="12.75">
      <c r="I43" s="13">
        <v>41</v>
      </c>
      <c r="J43" s="7" t="str">
        <f>F25</f>
        <v/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</row>
    <row r="44" spans="1:71" ht="12.75">
      <c r="I44" s="17">
        <v>42</v>
      </c>
      <c r="J44" s="7" t="str">
        <f>G25</f>
        <v/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</row>
    <row r="45" spans="1:71" ht="12.75">
      <c r="I45" s="13">
        <v>43</v>
      </c>
      <c r="J45" s="7" t="str">
        <f>A28</f>
        <v/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</row>
    <row r="46" spans="1:71" ht="12.75">
      <c r="I46" s="17">
        <v>44</v>
      </c>
      <c r="J46" s="7" t="str">
        <f>B28</f>
        <v/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</row>
    <row r="47" spans="1:71" ht="12.75">
      <c r="I47" s="13">
        <v>45</v>
      </c>
      <c r="J47" s="7" t="str">
        <f>C28</f>
        <v/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</row>
    <row r="48" spans="1:71" ht="12.75">
      <c r="I48" s="17">
        <v>46</v>
      </c>
      <c r="J48" s="7" t="str">
        <f>D28</f>
        <v/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</row>
    <row r="49" spans="9:71" ht="12.75">
      <c r="I49" s="13">
        <v>47</v>
      </c>
      <c r="J49" s="7" t="str">
        <f>E28</f>
        <v/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</row>
    <row r="50" spans="9:71" ht="12.75">
      <c r="I50" s="17">
        <v>48</v>
      </c>
      <c r="J50" s="7" t="str">
        <f>F28</f>
        <v/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</row>
    <row r="51" spans="9:71" ht="12.75">
      <c r="I51" s="13">
        <v>49</v>
      </c>
      <c r="J51" s="7" t="str">
        <f>G28</f>
        <v/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</row>
    <row r="52" spans="9:71" ht="12.75">
      <c r="I52" s="17">
        <v>50</v>
      </c>
      <c r="J52" s="7" t="str">
        <f>A31</f>
        <v/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</row>
    <row r="53" spans="9:71" ht="12.75">
      <c r="I53" s="13">
        <v>51</v>
      </c>
      <c r="J53" s="7" t="str">
        <f>B31</f>
        <v/>
      </c>
    </row>
    <row r="54" spans="9:71" ht="12.75">
      <c r="I54" s="17">
        <v>52</v>
      </c>
      <c r="J54" s="7" t="str">
        <f>C31</f>
        <v/>
      </c>
    </row>
    <row r="55" spans="9:71" ht="12.75"/>
    <row r="56" spans="9:71" ht="12.75" hidden="1"/>
    <row r="57" spans="9:71" ht="12.75" hidden="1"/>
    <row r="58" spans="9:71" ht="12.75" hidden="1"/>
    <row r="59" spans="9:71" ht="12.75" hidden="1"/>
    <row r="60" spans="9:71" ht="12.75" hidden="1"/>
    <row r="61" spans="9:71" ht="12.75" hidden="1"/>
    <row r="62" spans="9:71" ht="12.75" hidden="1"/>
    <row r="63" spans="9:71" ht="12.75" hidden="1"/>
    <row r="64" spans="9:71" ht="12.75" hidden="1"/>
    <row r="65" s="4" customFormat="1" ht="12.75" hidden="1"/>
    <row r="66" s="4" customFormat="1" ht="12.75" hidden="1"/>
    <row r="67" s="4" customFormat="1" ht="12.75" hidden="1"/>
    <row r="68" s="4" customFormat="1" ht="12.75" hidden="1"/>
    <row r="69" s="4" customFormat="1" ht="12.75" hidden="1"/>
    <row r="70" s="4" customFormat="1" ht="12.75" hidden="1"/>
    <row r="71" s="4" customFormat="1" ht="12.75" hidden="1"/>
    <row r="72" s="4" customFormat="1" ht="12.75" hidden="1"/>
    <row r="73" s="4" customFormat="1" ht="12.75" hidden="1"/>
    <row r="74" s="4" customFormat="1" ht="12.75" hidden="1"/>
    <row r="75" s="4" customFormat="1" ht="12.75" hidden="1"/>
    <row r="76" s="4" customFormat="1" ht="12.75" hidden="1"/>
    <row r="77" s="4" customFormat="1" ht="12.75" hidden="1"/>
    <row r="78" s="4" customFormat="1" ht="12.75" hidden="1"/>
    <row r="79" s="4" customFormat="1" ht="12.75" hidden="1"/>
    <row r="80" s="4" customFormat="1" ht="12.75" hidden="1"/>
    <row r="81" s="4" customFormat="1" ht="12.75" hidden="1"/>
    <row r="82" s="4" customFormat="1" ht="12.75" hidden="1"/>
    <row r="83" s="4" customFormat="1" ht="12.75" hidden="1"/>
    <row r="84" s="4" customFormat="1" ht="12.75" hidden="1"/>
    <row r="85" s="4" customFormat="1" ht="12.75" hidden="1"/>
    <row r="86" s="4" customFormat="1" ht="12.75" hidden="1"/>
    <row r="87" s="4" customFormat="1" ht="12.75" hidden="1"/>
    <row r="88" s="4" customFormat="1" ht="12.75" hidden="1"/>
    <row r="89" s="4" customFormat="1" ht="12.75" hidden="1"/>
    <row r="90" s="4" customFormat="1" ht="12.75" hidden="1"/>
    <row r="91" s="4" customFormat="1" ht="12.75" hidden="1"/>
    <row r="92" s="4" customFormat="1" ht="12.75" hidden="1"/>
    <row r="93" s="4" customFormat="1" ht="12.75" hidden="1"/>
    <row r="94" s="4" customFormat="1" ht="12.75" hidden="1"/>
    <row r="95" s="4" customFormat="1" ht="12.75" hidden="1"/>
    <row r="96" s="4" customFormat="1" ht="12.75" hidden="1"/>
    <row r="97" s="4" customFormat="1" ht="12.75" hidden="1"/>
    <row r="98" s="4" customFormat="1" ht="12.75" hidden="1"/>
    <row r="99" s="4" customFormat="1" ht="12.75" hidden="1"/>
    <row r="100" s="4" customFormat="1" ht="12.75" hidden="1" customHeight="1"/>
    <row r="101" s="4" customFormat="1" ht="12.75" hidden="1" customHeight="1"/>
    <row r="102" s="4" customFormat="1" ht="12.75" hidden="1" customHeight="1"/>
  </sheetData>
  <sheetProtection selectLockedCells="1"/>
  <mergeCells count="4">
    <mergeCell ref="C4:D4"/>
    <mergeCell ref="E4:G4"/>
    <mergeCell ref="C6:D6"/>
    <mergeCell ref="E6:G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4"/>
  <dimension ref="A1:BP42"/>
  <sheetViews>
    <sheetView workbookViewId="0">
      <selection activeCell="A10" sqref="A10"/>
    </sheetView>
  </sheetViews>
  <sheetFormatPr defaultColWidth="0" defaultRowHeight="12.75" zeroHeight="1"/>
  <cols>
    <col min="1" max="8" width="18" style="4" customWidth="1"/>
    <col min="9" max="36" width="9.140625" style="15" hidden="1" customWidth="1"/>
    <col min="37" max="68" width="0" style="15" hidden="1" customWidth="1"/>
    <col min="69" max="16384" width="9.140625" style="4" hidden="1"/>
  </cols>
  <sheetData>
    <row r="1" spans="1:35" ht="12.75" customHeight="1">
      <c r="A1" s="3"/>
      <c r="B1" s="5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</row>
    <row r="2" spans="1:35">
      <c r="A2" s="3"/>
      <c r="B2" s="6" t="s">
        <v>693</v>
      </c>
      <c r="E2" s="4" t="s">
        <v>687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</row>
    <row r="3" spans="1:35" ht="13.5" thickBot="1">
      <c r="A3" s="3"/>
      <c r="B3" s="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</row>
    <row r="4" spans="1:35" ht="13.5" thickBot="1">
      <c r="A4" s="13" t="s">
        <v>690</v>
      </c>
      <c r="B4" s="19"/>
      <c r="C4" s="44" t="s">
        <v>627</v>
      </c>
      <c r="D4" s="45"/>
      <c r="E4" s="41" t="str">
        <f>IF(ISBLANK(B4),"",VLOOKUP(B4,#REF!,2,FALSE))</f>
        <v/>
      </c>
      <c r="F4" s="42"/>
      <c r="G4" s="43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</row>
    <row r="5" spans="1:35" ht="13.5" thickBot="1">
      <c r="A5" s="13"/>
      <c r="B5" s="8"/>
      <c r="C5" s="13"/>
      <c r="D5" s="13"/>
      <c r="E5" s="7"/>
      <c r="F5" s="7"/>
      <c r="G5" s="7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</row>
    <row r="6" spans="1:35" ht="12" customHeight="1" thickBot="1">
      <c r="A6" s="13" t="s">
        <v>689</v>
      </c>
      <c r="B6" s="12" t="str">
        <f>IF(ISBLANK(B4),"",VLOOKUP(B4,#REF!,4,FALSE))</f>
        <v/>
      </c>
      <c r="C6" s="44" t="s">
        <v>628</v>
      </c>
      <c r="D6" s="45"/>
      <c r="E6" s="41" t="str">
        <f>IF(ISBLANK(B4),"",VLOOKUP(B4,#REF!,3,FALSE))</f>
        <v/>
      </c>
      <c r="F6" s="42"/>
      <c r="G6" s="43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ht="13.5" thickBot="1">
      <c r="A9" s="7" t="s">
        <v>642</v>
      </c>
      <c r="B9" s="7" t="s">
        <v>643</v>
      </c>
      <c r="C9" s="7" t="s">
        <v>644</v>
      </c>
      <c r="D9" s="7" t="s">
        <v>645</v>
      </c>
      <c r="E9" s="7" t="s">
        <v>646</v>
      </c>
      <c r="F9" s="7" t="s">
        <v>647</v>
      </c>
      <c r="G9" s="7" t="s">
        <v>648</v>
      </c>
    </row>
    <row r="10" spans="1:35" ht="13.5" thickBot="1">
      <c r="A10" s="12" t="str">
        <f>IF(ISBLANK($B$4),"",(IF(ISBLANK(VLOOKUP($B$4,#REF!,12,FALSE)),"No Data",VLOOKUP($B$4,#REF!,12,FALSE))))</f>
        <v/>
      </c>
      <c r="B10" s="12" t="str">
        <f>IF(ISBLANK($B$4),"",(IF(ISBLANK(VLOOKUP($B$4,#REF!,15,FALSE)),"No Data",VLOOKUP($B$4,#REF!,15,FALSE))))</f>
        <v/>
      </c>
      <c r="C10" s="12" t="str">
        <f>IF(ISBLANK($B$4),"",(IF(ISBLANK(VLOOKUP($B$4,#REF!,18,FALSE)),"No Data",VLOOKUP($B$4,#REF!,18,FALSE))))</f>
        <v/>
      </c>
      <c r="D10" s="12" t="str">
        <f>IF(ISBLANK($B$4),"",(IF(ISBLANK(VLOOKUP($B$4,#REF!,21,FALSE)),"No Data",VLOOKUP($B$4,#REF!,21,FALSE))))</f>
        <v/>
      </c>
      <c r="E10" s="12" t="str">
        <f>IF(ISBLANK($B$4),"",(IF(ISBLANK(VLOOKUP($B$4,#REF!,24,FALSE)),"No Data",VLOOKUP($B$4,#REF!,24,FALSE))))</f>
        <v/>
      </c>
      <c r="F10" s="12" t="str">
        <f>IF(ISBLANK($B$4),"",(IF(ISBLANK(VLOOKUP($B$4,#REF!,27,FALSE)),"No Data",VLOOKUP($B$4,#REF!,27,FALSE))))</f>
        <v/>
      </c>
      <c r="G10" s="12" t="str">
        <f>IF(ISBLANK($B$4),"",(IF(ISBLANK(VLOOKUP($B$4,#REF!,30,FALSE)),"No Data",VLOOKUP($B$4,#REF!,30,FALSE))))</f>
        <v/>
      </c>
    </row>
    <row r="11" spans="1:35" ht="13.5" thickBot="1">
      <c r="A11" s="12" t="str">
        <f>IF(ISBLANK($B$4),"",(IF(ISBLANK(VLOOKUP($B$4,#REF!,13,FALSE)),"No Data",VLOOKUP($B$4,#REF!,13,FALSE))))</f>
        <v/>
      </c>
      <c r="B11" s="12" t="str">
        <f>IF(ISBLANK($B$4),"",(IF(ISBLANK(VLOOKUP($B$4,#REF!,16,FALSE)),"No Data",VLOOKUP($B$4,#REF!,16,FALSE))))</f>
        <v/>
      </c>
      <c r="C11" s="12" t="str">
        <f>IF(ISBLANK($B$4),"",(IF(ISBLANK(VLOOKUP($B$4,#REF!,19,FALSE)),"No Data",VLOOKUP($B$4,#REF!,19,FALSE))))</f>
        <v/>
      </c>
      <c r="D11" s="12" t="str">
        <f>IF(ISBLANK($B$4),"",(IF(ISBLANK(VLOOKUP($B$4,#REF!,22,FALSE)),"No Data",VLOOKUP($B$4,#REF!,22,FALSE))))</f>
        <v/>
      </c>
      <c r="E11" s="12" t="str">
        <f>IF(ISBLANK($B$4),"",(IF(ISBLANK(VLOOKUP($B$4,#REF!,25,FALSE)),"No Data",VLOOKUP($B$4,#REF!,25,FALSE))))</f>
        <v/>
      </c>
      <c r="F11" s="12" t="str">
        <f>IF(ISBLANK($B$4),"",(IF(ISBLANK(VLOOKUP($B$4,#REF!,28,FALSE)),"No Data",VLOOKUP($B$4,#REF!,28,FALSE))))</f>
        <v/>
      </c>
      <c r="G11" s="12" t="str">
        <f>IF(ISBLANK($B$4),"",(IF(ISBLANK(VLOOKUP($B$4,#REF!,31,FALSE)),"No Data",VLOOKUP($B$4,#REF!,31,FALSE))))</f>
        <v/>
      </c>
    </row>
    <row r="12" spans="1:35">
      <c r="A12" s="7"/>
      <c r="B12" s="7"/>
      <c r="C12" s="7"/>
      <c r="D12" s="7"/>
      <c r="E12" s="7"/>
      <c r="F12" s="7"/>
      <c r="G12" s="7"/>
    </row>
    <row r="13" spans="1:35" ht="13.5" thickBot="1">
      <c r="A13" s="7" t="s">
        <v>649</v>
      </c>
      <c r="B13" s="7" t="s">
        <v>650</v>
      </c>
      <c r="C13" s="7" t="s">
        <v>651</v>
      </c>
      <c r="D13" s="7" t="s">
        <v>652</v>
      </c>
      <c r="E13" s="7" t="s">
        <v>653</v>
      </c>
      <c r="F13" s="7" t="s">
        <v>654</v>
      </c>
      <c r="G13" s="7" t="s">
        <v>655</v>
      </c>
    </row>
    <row r="14" spans="1:35" ht="13.5" thickBot="1">
      <c r="A14" s="12" t="str">
        <f>IF(ISBLANK($B$4),"",(IF(ISBLANK(VLOOKUP($B$4,#REF!,33,FALSE)),"No Data",VLOOKUP($B$4,#REF!,33,FALSE))))</f>
        <v/>
      </c>
      <c r="B14" s="12" t="str">
        <f>IF(ISBLANK($B$4),"",(IF(ISBLANK(VLOOKUP($B$4,#REF!,36,FALSE)),"No Data",VLOOKUP($B$4,#REF!,36,FALSE))))</f>
        <v/>
      </c>
      <c r="C14" s="12" t="str">
        <f>IF(ISBLANK($B$4),"",(IF(ISBLANK(VLOOKUP($B$4,#REF!,39,FALSE)),"No Data",VLOOKUP($B$4,#REF!,39,FALSE))))</f>
        <v/>
      </c>
      <c r="D14" s="12" t="str">
        <f>IF(ISBLANK($B$4),"",(IF(ISBLANK(VLOOKUP($B$4,#REF!,42,FALSE)),"No Data",VLOOKUP($B$4,#REF!,42,FALSE))))</f>
        <v/>
      </c>
      <c r="E14" s="12" t="str">
        <f>IF(ISBLANK($B$4),"",(IF(ISBLANK(VLOOKUP($B$4,#REF!,45,FALSE)),"No Data",VLOOKUP($B$4,#REF!,45,FALSE))))</f>
        <v/>
      </c>
      <c r="F14" s="12" t="str">
        <f>IF(ISBLANK($B$4),"",(IF(ISBLANK(VLOOKUP($B$4,#REF!,48,FALSE)),"No Data",VLOOKUP($B$4,#REF!,48,FALSE))))</f>
        <v/>
      </c>
      <c r="G14" s="12" t="str">
        <f>IF(ISBLANK($B$4),"",(IF(ISBLANK(VLOOKUP($B$4,#REF!,51,FALSE)),"No Data",VLOOKUP($B$4,#REF!,51,FALSE))))</f>
        <v/>
      </c>
    </row>
    <row r="15" spans="1:35" ht="13.5" thickBot="1">
      <c r="A15" s="12" t="str">
        <f>IF(ISBLANK($B$4),"",(IF(ISBLANK(VLOOKUP($B$4,#REF!,34,FALSE)),"No Data",VLOOKUP($B$4,#REF!,34,FALSE))))</f>
        <v/>
      </c>
      <c r="B15" s="12" t="str">
        <f>IF(ISBLANK($B$4),"",(IF(ISBLANK(VLOOKUP($B$4,#REF!,37,FALSE)),"No Data",VLOOKUP($B$4,#REF!,37,FALSE))))</f>
        <v/>
      </c>
      <c r="C15" s="12" t="str">
        <f>IF(ISBLANK($B$4),"",(IF(ISBLANK(VLOOKUP($B$4,#REF!,40,FALSE)),"No Data",VLOOKUP($B$4,#REF!,40,FALSE))))</f>
        <v/>
      </c>
      <c r="D15" s="12" t="str">
        <f>IF(ISBLANK($B$4),"",(IF(ISBLANK(VLOOKUP($B$4,#REF!,43,FALSE)),"No Data",VLOOKUP($B$4,#REF!,43,FALSE))))</f>
        <v/>
      </c>
      <c r="E15" s="12" t="str">
        <f>IF(ISBLANK($B$4),"",(IF(ISBLANK(VLOOKUP($B$4,#REF!,46,FALSE)),"No Data",VLOOKUP($B$4,#REF!,46,FALSE))))</f>
        <v/>
      </c>
      <c r="F15" s="12" t="str">
        <f>IF(ISBLANK($B$4),"",(IF(ISBLANK(VLOOKUP($B$4,#REF!,49,FALSE)),"No Data",VLOOKUP($B$4,#REF!,49,FALSE))))</f>
        <v/>
      </c>
      <c r="G15" s="12" t="str">
        <f>IF(ISBLANK($B$4),"",(IF(ISBLANK(VLOOKUP($B$4,#REF!,52,FALSE)),"No Data",VLOOKUP($B$4,#REF!,52,FALSE))))</f>
        <v/>
      </c>
    </row>
    <row r="16" spans="1:35">
      <c r="A16" s="7"/>
      <c r="B16" s="7"/>
      <c r="C16" s="7"/>
      <c r="D16" s="7"/>
      <c r="E16" s="7"/>
      <c r="F16" s="7"/>
      <c r="G16" s="7"/>
    </row>
    <row r="17" spans="1:7" ht="13.5" thickBot="1">
      <c r="A17" s="7" t="s">
        <v>656</v>
      </c>
      <c r="B17" s="7" t="s">
        <v>657</v>
      </c>
      <c r="C17" s="7" t="s">
        <v>658</v>
      </c>
      <c r="D17" s="7" t="s">
        <v>659</v>
      </c>
      <c r="E17" s="7" t="s">
        <v>660</v>
      </c>
      <c r="F17" s="7" t="s">
        <v>661</v>
      </c>
      <c r="G17" s="7" t="s">
        <v>662</v>
      </c>
    </row>
    <row r="18" spans="1:7" ht="13.5" thickBot="1">
      <c r="A18" s="12" t="str">
        <f>IF(ISBLANK($B$4),"",(IF(ISBLANK(VLOOKUP($B$4,#REF!,54,FALSE)),"No Data",VLOOKUP($B$4,#REF!,54,FALSE))))</f>
        <v/>
      </c>
      <c r="B18" s="12" t="str">
        <f>IF(ISBLANK($B$4),"",(IF(ISBLANK(VLOOKUP($B$4,#REF!,57,FALSE)),"No Data",VLOOKUP($B$4,#REF!,57,FALSE))))</f>
        <v/>
      </c>
      <c r="C18" s="12" t="str">
        <f>IF(ISBLANK($B$4),"",(IF(ISBLANK(VLOOKUP($B$4,#REF!,60,FALSE)),"No Data",VLOOKUP($B$4,#REF!,60,FALSE))))</f>
        <v/>
      </c>
      <c r="D18" s="12" t="str">
        <f>IF(ISBLANK($B$4),"",(IF(ISBLANK(VLOOKUP($B$4,#REF!,63,FALSE)),"No Data",VLOOKUP($B$4,#REF!,63,FALSE))))</f>
        <v/>
      </c>
      <c r="E18" s="12" t="str">
        <f>IF(ISBLANK($B$4),"",(IF(ISBLANK(VLOOKUP($B$4,#REF!,66,FALSE)),"No Data",VLOOKUP($B$4,#REF!,66,FALSE))))</f>
        <v/>
      </c>
      <c r="F18" s="12" t="str">
        <f>IF(ISBLANK($B$4),"",(IF(ISBLANK(VLOOKUP($B$4,#REF!,69,FALSE)),"No Data",VLOOKUP($B$4,#REF!,69,FALSE))))</f>
        <v/>
      </c>
      <c r="G18" s="12" t="str">
        <f>IF(ISBLANK($B$4),"",(IF(ISBLANK(VLOOKUP($B$4,#REF!,72,FALSE)),"No Data", VLOOKUP($B$4,#REF!,72,FALSE))))</f>
        <v/>
      </c>
    </row>
    <row r="19" spans="1:7" ht="13.5" thickBot="1">
      <c r="A19" s="12" t="str">
        <f>IF(ISBLANK($B$4),"",(IF(ISBLANK(VLOOKUP($B$4,#REF!,55,FALSE)),"No Data",VLOOKUP($B$4,#REF!,55,FALSE))))</f>
        <v/>
      </c>
      <c r="B19" s="12" t="str">
        <f>IF(ISBLANK($B$4),"",(IF(ISBLANK(VLOOKUP($B$4,#REF!,58,FALSE)),"No Data",VLOOKUP($B$4,#REF!,58,FALSE))))</f>
        <v/>
      </c>
      <c r="C19" s="12" t="str">
        <f>IF(ISBLANK($B$4),"",(IF(ISBLANK(VLOOKUP($B$4,#REF!,61,FALSE)),"No Data",VLOOKUP($B$4,#REF!,61,FALSE))))</f>
        <v/>
      </c>
      <c r="D19" s="12" t="str">
        <f>IF(ISBLANK($B$4),"",(IF(ISBLANK(VLOOKUP($B$4,#REF!,64,FALSE)),"No Data",VLOOKUP($B$4,#REF!,64,FALSE))))</f>
        <v/>
      </c>
      <c r="E19" s="12" t="str">
        <f>IF(ISBLANK($B$4),"",(IF(ISBLANK(VLOOKUP($B$4,#REF!,67,FALSE)),"No Data",VLOOKUP($B$4,#REF!,67,FALSE))))</f>
        <v/>
      </c>
      <c r="F19" s="12" t="str">
        <f>IF(ISBLANK($B$4),"",(IF(ISBLANK(VLOOKUP($B$4,#REF!,70,FALSE)),"No Data",VLOOKUP($B$4,#REF!,70,FALSE))))</f>
        <v/>
      </c>
      <c r="G19" s="12" t="str">
        <f>IF(ISBLANK($B$4),"",(IF(ISBLANK(VLOOKUP($B$4,#REF!,73,FALSE)),"No Data", VLOOKUP($B$4,#REF!,73,FALSE))))</f>
        <v/>
      </c>
    </row>
    <row r="20" spans="1:7">
      <c r="A20" s="7"/>
      <c r="B20" s="7"/>
      <c r="C20" s="7"/>
      <c r="D20" s="7"/>
      <c r="E20" s="7"/>
      <c r="F20" s="7"/>
      <c r="G20" s="7"/>
    </row>
    <row r="21" spans="1:7" ht="13.5" thickBot="1">
      <c r="A21" s="7" t="s">
        <v>663</v>
      </c>
      <c r="B21" s="7" t="s">
        <v>664</v>
      </c>
      <c r="C21" s="7" t="s">
        <v>665</v>
      </c>
      <c r="D21" s="7" t="s">
        <v>666</v>
      </c>
      <c r="E21" s="7" t="s">
        <v>667</v>
      </c>
      <c r="F21" s="7" t="s">
        <v>668</v>
      </c>
      <c r="G21" s="7" t="s">
        <v>669</v>
      </c>
    </row>
    <row r="22" spans="1:7" ht="13.5" thickBot="1">
      <c r="A22" s="12" t="str">
        <f>IF(ISBLANK($B$4),"",(IF(ISBLANK(VLOOKUP($B$4,#REF!,75,FALSE)),"No Data", VLOOKUP($B$4,#REF!,75,FALSE))))</f>
        <v/>
      </c>
      <c r="B22" s="12" t="str">
        <f>IF(ISBLANK($B$4),"",(IF(ISBLANK(VLOOKUP($B$4,#REF!,78,FALSE)),"No Data", VLOOKUP($B$4,#REF!,78,FALSE))))</f>
        <v/>
      </c>
      <c r="C22" s="12" t="str">
        <f>IF(ISBLANK($B$4),"",(IF(ISBLANK(VLOOKUP($B$4,#REF!,81,FALSE)),"No Data", VLOOKUP($B$4,#REF!,81,FALSE))))</f>
        <v/>
      </c>
      <c r="D22" s="12" t="str">
        <f>IF(ISBLANK($B$4),"",(IF(ISBLANK(VLOOKUP($B$4,#REF!,84,FALSE)),"No Data", VLOOKUP($B$4,#REF!,84,FALSE))))</f>
        <v/>
      </c>
      <c r="E22" s="12" t="str">
        <f>IF(ISBLANK($B$4),"",(IF(ISBLANK(VLOOKUP($B$4,#REF!,87,FALSE)),"No Data", VLOOKUP($B$4,#REF!,87,FALSE))))</f>
        <v/>
      </c>
      <c r="F22" s="12" t="str">
        <f>IF(ISBLANK($B$4),"",(IF(ISBLANK(VLOOKUP($B$4,#REF!,90,FALSE)),"No Data", VLOOKUP($B$4,#REF!,90,FALSE))))</f>
        <v/>
      </c>
      <c r="G22" s="12" t="str">
        <f>IF(ISBLANK($B$4),"",(IF(ISBLANK(VLOOKUP($B$4,#REF!,93,FALSE)),"No Data", VLOOKUP($B$4,#REF!,93,FALSE))))</f>
        <v/>
      </c>
    </row>
    <row r="23" spans="1:7" ht="13.5" thickBot="1">
      <c r="A23" s="12" t="str">
        <f>IF(ISBLANK($B$4),"",(IF(ISBLANK(VLOOKUP($B$4,#REF!,76,FALSE)),"No Data", VLOOKUP($B$4,#REF!,76,FALSE))))</f>
        <v/>
      </c>
      <c r="B23" s="12" t="str">
        <f>IF(ISBLANK($B$4),"",(IF(ISBLANK(VLOOKUP($B$4,#REF!,79,FALSE)),"No Data", VLOOKUP($B$4,#REF!,79,FALSE))))</f>
        <v/>
      </c>
      <c r="C23" s="12" t="str">
        <f>IF(ISBLANK($B$4),"",(IF(ISBLANK(VLOOKUP($B$4,#REF!,82,FALSE)),"No Data", VLOOKUP($B$4,#REF!,82,FALSE))))</f>
        <v/>
      </c>
      <c r="D23" s="12" t="str">
        <f>IF(ISBLANK($B$4),"",(IF(ISBLANK(VLOOKUP($B$4,#REF!,85,FALSE)),"No Data", VLOOKUP($B$4,#REF!,85,FALSE))))</f>
        <v/>
      </c>
      <c r="E23" s="12" t="str">
        <f>IF(ISBLANK($B$4),"",(IF(ISBLANK(VLOOKUP($B$4,#REF!,88,FALSE)),"No Data", VLOOKUP($B$4,#REF!,88,FALSE))))</f>
        <v/>
      </c>
      <c r="F23" s="12" t="str">
        <f>IF(ISBLANK($B$4),"",(IF(ISBLANK(VLOOKUP($B$4,#REF!,91,FALSE)),"No Data", VLOOKUP($B$4,#REF!,91,FALSE))))</f>
        <v/>
      </c>
      <c r="G23" s="12" t="str">
        <f>IF(ISBLANK($B$4),"",(IF(ISBLANK(VLOOKUP($B$4,#REF!,94,FALSE)),"No Data", VLOOKUP($B$4,#REF!,94,FALSE))))</f>
        <v/>
      </c>
    </row>
    <row r="24" spans="1:7">
      <c r="A24" s="7"/>
      <c r="B24" s="7"/>
      <c r="C24" s="7"/>
      <c r="D24" s="7"/>
      <c r="E24" s="7"/>
      <c r="F24" s="7"/>
      <c r="G24" s="7"/>
    </row>
    <row r="25" spans="1:7" ht="13.5" thickBot="1">
      <c r="A25" s="7" t="s">
        <v>670</v>
      </c>
      <c r="B25" s="7" t="s">
        <v>671</v>
      </c>
      <c r="C25" s="7" t="s">
        <v>672</v>
      </c>
      <c r="D25" s="7" t="s">
        <v>673</v>
      </c>
      <c r="E25" s="7" t="s">
        <v>674</v>
      </c>
      <c r="F25" s="7" t="s">
        <v>675</v>
      </c>
      <c r="G25" s="7" t="s">
        <v>676</v>
      </c>
    </row>
    <row r="26" spans="1:7" ht="13.5" thickBot="1">
      <c r="A26" s="12" t="str">
        <f>IF(ISBLANK($B$4),"",(IF(ISBLANK(VLOOKUP($B$4,#REF!,96,FALSE)),"No Data", VLOOKUP($B$4,#REF!,96,FALSE))))</f>
        <v/>
      </c>
      <c r="B26" s="12" t="str">
        <f>IF(ISBLANK($B$4),"",(IF(ISBLANK(VLOOKUP($B$4,#REF!,99,FALSE)),"No Data", VLOOKUP($B$4,#REF!,99,FALSE))))</f>
        <v/>
      </c>
      <c r="C26" s="12" t="str">
        <f>IF(ISBLANK($B$4),"",(IF(ISBLANK(VLOOKUP($B$4,#REF!,102,FALSE)),"No Data", VLOOKUP($B$4,#REF!,102,FALSE))))</f>
        <v/>
      </c>
      <c r="D26" s="12" t="str">
        <f>IF(ISBLANK($B$4),"",(IF(ISBLANK(VLOOKUP($B$4,#REF!,105,FALSE)),"No Data", VLOOKUP($B$4,#REF!,105,FALSE))))</f>
        <v/>
      </c>
      <c r="E26" s="12" t="str">
        <f>IF(ISBLANK($B$4),"",(IF(ISBLANK(VLOOKUP($B$4,#REF!,108,FALSE)),"No Data", VLOOKUP($B$4,#REF!,108,FALSE))))</f>
        <v/>
      </c>
      <c r="F26" s="12" t="str">
        <f>IF(ISBLANK($B$4),"",(IF(ISBLANK(VLOOKUP($B$4,#REF!,111,FALSE)),"No Data", VLOOKUP($B$4,#REF!,111,FALSE))))</f>
        <v/>
      </c>
      <c r="G26" s="12" t="str">
        <f>IF(ISBLANK($B$4),"",(IF(ISBLANK(VLOOKUP($B$4,#REF!,114,FALSE)),"No Data",VLOOKUP($B$4,#REF!,114,FALSE))))</f>
        <v/>
      </c>
    </row>
    <row r="27" spans="1:7" ht="13.5" thickBot="1">
      <c r="A27" s="12" t="str">
        <f>IF(ISBLANK($B$4),"",(IF(ISBLANK(VLOOKUP($B$4,#REF!,97,FALSE)),"No Data", VLOOKUP($B$4,#REF!,97,FALSE))))</f>
        <v/>
      </c>
      <c r="B27" s="12" t="str">
        <f>IF(ISBLANK($B$4),"",(IF(ISBLANK(VLOOKUP($B$4,#REF!,100,FALSE)),"No Data", VLOOKUP($B$4,#REF!,100,FALSE))))</f>
        <v/>
      </c>
      <c r="C27" s="12" t="str">
        <f>IF(ISBLANK($B$4),"",(IF(ISBLANK(VLOOKUP($B$4,#REF!,103,FALSE)),"No Data", VLOOKUP($B$4,#REF!,103,FALSE))))</f>
        <v/>
      </c>
      <c r="D27" s="12" t="str">
        <f>IF(ISBLANK($B$4),"",(IF(ISBLANK(VLOOKUP($B$4,#REF!,106,FALSE)),"No Data", VLOOKUP($B$4,#REF!,106,FALSE))))</f>
        <v/>
      </c>
      <c r="E27" s="12" t="str">
        <f>IF(ISBLANK($B$4),"",(IF(ISBLANK(VLOOKUP($B$4,#REF!,109,FALSE)),"No Data", VLOOKUP($B$4,#REF!,109,FALSE))))</f>
        <v/>
      </c>
      <c r="F27" s="12" t="str">
        <f>IF(ISBLANK($B$4),"",(IF(ISBLANK(VLOOKUP($B$4,#REF!,112,FALSE)),"No Data", VLOOKUP($B$4,#REF!,112,FALSE))))</f>
        <v/>
      </c>
      <c r="G27" s="12" t="str">
        <f>IF(ISBLANK($B$4),"",(IF(ISBLANK(VLOOKUP($B$4,#REF!,115,FALSE)),"No Data",VLOOKUP($B$4,#REF!,115,FALSE))))</f>
        <v/>
      </c>
    </row>
    <row r="28" spans="1:7">
      <c r="A28" s="7"/>
      <c r="B28" s="7"/>
      <c r="C28" s="7"/>
      <c r="D28" s="7"/>
      <c r="E28" s="7"/>
      <c r="F28" s="7"/>
      <c r="G28" s="7"/>
    </row>
    <row r="29" spans="1:7" ht="13.5" thickBot="1">
      <c r="A29" s="7" t="s">
        <v>677</v>
      </c>
      <c r="B29" s="7" t="s">
        <v>678</v>
      </c>
      <c r="C29" s="7" t="s">
        <v>679</v>
      </c>
      <c r="D29" s="7" t="s">
        <v>680</v>
      </c>
      <c r="E29" s="7" t="s">
        <v>681</v>
      </c>
      <c r="F29" s="7" t="s">
        <v>682</v>
      </c>
      <c r="G29" s="7" t="s">
        <v>683</v>
      </c>
    </row>
    <row r="30" spans="1:7" ht="13.5" thickBot="1">
      <c r="A30" s="12" t="str">
        <f>IF(ISBLANK($B$4),"",(IF(ISBLANK(VLOOKUP($B$4,#REF!,117,FALSE)),"No Data",VLOOKUP($B$4,#REF!,117,FALSE))))</f>
        <v/>
      </c>
      <c r="B30" s="12" t="str">
        <f>IF(ISBLANK($B$4),"",(IF(ISBLANK(VLOOKUP($B$4,#REF!,120,FALSE)),"No Data",VLOOKUP($B$4,#REF!,120,FALSE))))</f>
        <v/>
      </c>
      <c r="C30" s="12" t="str">
        <f>IF(ISBLANK($B$4),"",(IF(ISBLANK(VLOOKUP($B$4,#REF!,123,FALSE)),"No Data",VLOOKUP($B$4,#REF!,123,FALSE))))</f>
        <v/>
      </c>
      <c r="D30" s="12" t="str">
        <f>IF(ISBLANK($B$4),"",(IF(ISBLANK(VLOOKUP($B$4,#REF!,126,FALSE)),"No Data",VLOOKUP($B$4,#REF!,126,FALSE))))</f>
        <v/>
      </c>
      <c r="E30" s="12" t="str">
        <f>IF(ISBLANK($B$4),"",(IF(ISBLANK(VLOOKUP($B$4,#REF!,129,FALSE)),"No Data",VLOOKUP($B$4,#REF!,129,FALSE))))</f>
        <v/>
      </c>
      <c r="F30" s="12" t="str">
        <f>IF(ISBLANK($B$4),"",(IF(ISBLANK(VLOOKUP($B$4,#REF!,132,FALSE)),"No Data",VLOOKUP($B$4,#REF!,132,FALSE))))</f>
        <v/>
      </c>
      <c r="G30" s="12" t="str">
        <f>IF(ISBLANK($B$4),"",(IF(ISBLANK(VLOOKUP($B$4,#REF!,135,FALSE)),"No Data",VLOOKUP($B$4,#REF!,135,FALSE))))</f>
        <v/>
      </c>
    </row>
    <row r="31" spans="1:7" ht="13.5" thickBot="1">
      <c r="A31" s="12" t="str">
        <f>IF(ISBLANK($B$4),"",(IF(ISBLANK(VLOOKUP($B$4,#REF!,118,FALSE)),"No Data",VLOOKUP($B$4,#REF!,118,FALSE))))</f>
        <v/>
      </c>
      <c r="B31" s="12" t="str">
        <f>IF(ISBLANK($B$4),"",(IF(ISBLANK(VLOOKUP($B$4,#REF!,121,FALSE)),"No Data",VLOOKUP($B$4,#REF!,121,FALSE))))</f>
        <v/>
      </c>
      <c r="C31" s="12" t="str">
        <f>IF(ISBLANK($B$4),"",(IF(ISBLANK(VLOOKUP($B$4,#REF!,124,FALSE)),"No Data",VLOOKUP($B$4,#REF!,124,FALSE))))</f>
        <v/>
      </c>
      <c r="D31" s="12" t="str">
        <f>IF(ISBLANK($B$4),"",(IF(ISBLANK(VLOOKUP($B$4,#REF!,127,FALSE)),"No Data",VLOOKUP($B$4,#REF!,127,FALSE))))</f>
        <v/>
      </c>
      <c r="E31" s="12" t="str">
        <f>IF(ISBLANK($B$4),"",(IF(ISBLANK(VLOOKUP($B$4,#REF!,130,FALSE)),"No Data",VLOOKUP($B$4,#REF!,130,FALSE))))</f>
        <v/>
      </c>
      <c r="F31" s="12" t="str">
        <f>IF(ISBLANK($B$4),"",(IF(ISBLANK(VLOOKUP($B$4,#REF!,133,FALSE)),"No Data",VLOOKUP($B$4,#REF!,133,FALSE))))</f>
        <v/>
      </c>
      <c r="G31" s="12" t="str">
        <f>IF(ISBLANK($B$4),"",(IF(ISBLANK(VLOOKUP($B$4,#REF!,136,FALSE)),"No Data",VLOOKUP($B$4,#REF!,136,FALSE))))</f>
        <v/>
      </c>
    </row>
    <row r="32" spans="1:7">
      <c r="A32" s="7"/>
      <c r="B32" s="7"/>
      <c r="C32" s="7"/>
      <c r="D32" s="7"/>
      <c r="E32" s="7"/>
      <c r="F32" s="7"/>
      <c r="G32" s="7"/>
    </row>
    <row r="33" spans="1:7" ht="13.5" thickBot="1">
      <c r="A33" s="7" t="s">
        <v>632</v>
      </c>
      <c r="B33" s="7" t="s">
        <v>633</v>
      </c>
      <c r="C33" s="7" t="s">
        <v>634</v>
      </c>
      <c r="D33" s="7" t="s">
        <v>635</v>
      </c>
      <c r="E33" s="7" t="s">
        <v>636</v>
      </c>
      <c r="F33" s="7" t="s">
        <v>637</v>
      </c>
      <c r="G33" s="7" t="s">
        <v>638</v>
      </c>
    </row>
    <row r="34" spans="1:7" ht="13.5" thickBot="1">
      <c r="A34" s="12" t="str">
        <f>IF(ISBLANK($B$4),"",(IF(ISBLANK(VLOOKUP($B$4,#REF!,138,FALSE)),"No Data",VLOOKUP($B$4,#REF!,138,FALSE))))</f>
        <v/>
      </c>
      <c r="B34" s="12" t="str">
        <f>IF(ISBLANK($B$4),"",(IF(ISBLANK(VLOOKUP($B$4,#REF!,141,FALSE)),"No Data",VLOOKUP($B$4,#REF!,141,FALSE))))</f>
        <v/>
      </c>
      <c r="C34" s="12" t="str">
        <f>IF(ISBLANK($B$4),"",(IF(ISBLANK(VLOOKUP($B$4,#REF!,144,FALSE)),"No Data",VLOOKUP($B$4,#REF!,144,FALSE))))</f>
        <v/>
      </c>
      <c r="D34" s="12" t="str">
        <f>IF(ISBLANK($B$4),"",(IF(ISBLANK(VLOOKUP($B$4,#REF!,147,FALSE)),"No Data",VLOOKUP($B$4,#REF!,147,FALSE))))</f>
        <v/>
      </c>
      <c r="E34" s="12" t="str">
        <f>IF(ISBLANK($B$4),"",(IF(ISBLANK(VLOOKUP($B$4,#REF!,150,FALSE)),"No Data",VLOOKUP($B$4,#REF!,150,FALSE))))</f>
        <v/>
      </c>
      <c r="F34" s="12" t="str">
        <f>IF(ISBLANK($B$4),"",(IF(ISBLANK(VLOOKUP($B$4,#REF!,153,FALSE)),"No Data",VLOOKUP($B$4,#REF!,153,FALSE))))</f>
        <v/>
      </c>
      <c r="G34" s="12" t="str">
        <f>IF(ISBLANK($B$4),"",(IF(ISBLANK(VLOOKUP($B$4,#REF!,156,FALSE)),"No Data",VLOOKUP($B$4,#REF!,156,FALSE))))</f>
        <v/>
      </c>
    </row>
    <row r="35" spans="1:7" ht="13.5" thickBot="1">
      <c r="A35" s="12" t="str">
        <f>IF(ISBLANK($B$4),"",(IF(ISBLANK(VLOOKUP($B$4,#REF!,139,FALSE)),"No Data",VLOOKUP($B$4,#REF!,139,FALSE))))</f>
        <v/>
      </c>
      <c r="B35" s="12" t="str">
        <f>IF(ISBLANK($B$4),"",(IF(ISBLANK(VLOOKUP($B$4,#REF!,142,FALSE)),"No Data",VLOOKUP($B$4,#REF!,142,FALSE))))</f>
        <v/>
      </c>
      <c r="C35" s="12" t="str">
        <f>IF(ISBLANK($B$4),"",(IF(ISBLANK(VLOOKUP($B$4,#REF!,145,FALSE)),"No Data",VLOOKUP($B$4,#REF!,145,FALSE))))</f>
        <v/>
      </c>
      <c r="D35" s="12" t="str">
        <f>IF(ISBLANK($B$4),"",(IF(ISBLANK(VLOOKUP($B$4,#REF!,148,FALSE)),"No Data",VLOOKUP($B$4,#REF!,148,FALSE))))</f>
        <v/>
      </c>
      <c r="E35" s="12" t="str">
        <f>IF(ISBLANK($B$4),"",(IF(ISBLANK(VLOOKUP($B$4,#REF!,151,FALSE)),"No Data",VLOOKUP($B$4,#REF!,151,FALSE))))</f>
        <v/>
      </c>
      <c r="F35" s="12" t="str">
        <f>IF(ISBLANK($B$4),"",(IF(ISBLANK(VLOOKUP($B$4,#REF!,154,FALSE)),"No Data",VLOOKUP($B$4,#REF!,154,FALSE))))</f>
        <v/>
      </c>
      <c r="G35" s="12" t="str">
        <f>IF(ISBLANK($B$4),"",(IF(ISBLANK(VLOOKUP($B$4,#REF!,157,FALSE)),"No Data",VLOOKUP($B$4,#REF!,157,FALSE))))</f>
        <v/>
      </c>
    </row>
    <row r="36" spans="1:7">
      <c r="A36" s="7"/>
      <c r="B36" s="7"/>
      <c r="C36" s="7"/>
      <c r="D36" s="7"/>
      <c r="E36" s="7"/>
      <c r="F36" s="7"/>
      <c r="G36" s="7"/>
    </row>
    <row r="37" spans="1:7" ht="13.5" thickBot="1">
      <c r="A37" s="7" t="s">
        <v>639</v>
      </c>
      <c r="B37" s="7" t="s">
        <v>640</v>
      </c>
      <c r="C37" s="7" t="s">
        <v>641</v>
      </c>
      <c r="D37" s="7"/>
      <c r="E37" s="7"/>
      <c r="F37" s="7"/>
      <c r="G37" s="7"/>
    </row>
    <row r="38" spans="1:7" ht="13.5" thickBot="1">
      <c r="A38" s="12" t="str">
        <f>IF(ISBLANK($B$4),"",(IF(ISBLANK(VLOOKUP($B$4,#REF!,159,FALSE)),"No Data",VLOOKUP($B$4,#REF!,159,FALSE))))</f>
        <v/>
      </c>
      <c r="B38" s="12" t="str">
        <f>IF(ISBLANK($B$4),"",(IF(ISBLANK(VLOOKUP($B$4,#REF!,162,FALSE)),"No Data",VLOOKUP($B$4,#REF!,162,FALSE))))</f>
        <v/>
      </c>
      <c r="C38" s="12" t="str">
        <f>IF(ISBLANK($B$4),"",(IF(ISBLANK(VLOOKUP($B$4,#REF!,165,FALSE)),"No Data",VLOOKUP($B$4,#REF!,165,FALSE))))</f>
        <v/>
      </c>
      <c r="D38" s="7"/>
      <c r="E38" s="7"/>
      <c r="F38" s="7"/>
      <c r="G38" s="7"/>
    </row>
    <row r="39" spans="1:7" ht="13.5" thickBot="1">
      <c r="A39" s="12" t="str">
        <f>IF(ISBLANK($B$4),"",(IF(ISBLANK(VLOOKUP($B$4,#REF!,160,FALSE)),"No Data",VLOOKUP($B$4,#REF!,160,FALSE))))</f>
        <v/>
      </c>
      <c r="B39" s="12" t="str">
        <f>IF(ISBLANK($B$4),"",(IF(ISBLANK(VLOOKUP($B$4,#REF!,163,FALSE)),"No Data",VLOOKUP($B$4,#REF!,163,FALSE))))</f>
        <v/>
      </c>
      <c r="C39" s="12" t="str">
        <f>IF(ISBLANK($B$4),"",(IF(ISBLANK(VLOOKUP($B$4,#REF!,166,FALSE)),"No Data",VLOOKUP($B$4,#REF!,166,FALSE))))</f>
        <v/>
      </c>
      <c r="D39" s="7"/>
      <c r="E39" s="7"/>
      <c r="F39" s="7"/>
      <c r="G39" s="7"/>
    </row>
    <row r="40" spans="1:7"/>
    <row r="41" spans="1:7" ht="12.75" customHeight="1"/>
    <row r="42" spans="1:7" ht="12.75" customHeight="1"/>
  </sheetData>
  <sheetProtection selectLockedCells="1"/>
  <mergeCells count="4">
    <mergeCell ref="C4:D4"/>
    <mergeCell ref="E4:G4"/>
    <mergeCell ref="C6:D6"/>
    <mergeCell ref="E6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5"/>
  <dimension ref="A1:BO102"/>
  <sheetViews>
    <sheetView workbookViewId="0">
      <selection activeCell="A28" sqref="A28"/>
    </sheetView>
  </sheetViews>
  <sheetFormatPr defaultColWidth="0" defaultRowHeight="0" customHeight="1" zeroHeight="1"/>
  <cols>
    <col min="1" max="7" width="13.42578125" style="4" customWidth="1"/>
    <col min="8" max="8" width="18" style="4" customWidth="1"/>
    <col min="9" max="9" width="18" style="4" hidden="1" customWidth="1"/>
    <col min="10" max="10" width="18" style="13" hidden="1" customWidth="1"/>
    <col min="11" max="11" width="18" style="18" hidden="1" customWidth="1"/>
    <col min="12" max="16384" width="18" style="4" hidden="1"/>
  </cols>
  <sheetData>
    <row r="1" spans="1:67" ht="12.75" customHeight="1">
      <c r="A1" s="3"/>
      <c r="B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</row>
    <row r="2" spans="1:67" ht="12.75">
      <c r="A2" s="3"/>
      <c r="B2" s="6" t="s">
        <v>688</v>
      </c>
      <c r="E2" s="4" t="s">
        <v>687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</row>
    <row r="3" spans="1:67" ht="13.5" thickBot="1">
      <c r="A3" s="3"/>
      <c r="B3" s="6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</row>
    <row r="4" spans="1:67" ht="13.5" thickBot="1">
      <c r="A4" s="13" t="s">
        <v>690</v>
      </c>
      <c r="B4" s="19"/>
      <c r="C4" s="46" t="s">
        <v>627</v>
      </c>
      <c r="D4" s="47"/>
      <c r="E4" s="41" t="str">
        <f>IF(ISBLANK(B4),"",VLOOKUP(B4,#REF!,2,FALSE))</f>
        <v/>
      </c>
      <c r="F4" s="42"/>
      <c r="G4" s="43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</row>
    <row r="5" spans="1:67" ht="13.5" thickBot="1">
      <c r="A5" s="13"/>
      <c r="B5" s="7"/>
      <c r="C5" s="14"/>
      <c r="D5" s="14"/>
      <c r="E5" s="7"/>
      <c r="F5" s="7"/>
      <c r="G5" s="7"/>
      <c r="J5" s="13">
        <v>1</v>
      </c>
      <c r="K5" s="18" t="str">
        <f>A10</f>
        <v>No Data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</row>
    <row r="6" spans="1:67" ht="12" customHeight="1" thickBot="1">
      <c r="A6" s="13" t="s">
        <v>689</v>
      </c>
      <c r="B6" s="12" t="str">
        <f>IF(ISBLANK(B4),"",VLOOKUP(B4,#REF!,4,FALSE))</f>
        <v/>
      </c>
      <c r="C6" s="46" t="s">
        <v>628</v>
      </c>
      <c r="D6" s="47"/>
      <c r="E6" s="41" t="str">
        <f>IF(ISBLANK(B4),"",VLOOKUP(B4,#REF!,3,FALSE))</f>
        <v/>
      </c>
      <c r="F6" s="42"/>
      <c r="G6" s="43"/>
      <c r="J6" s="13">
        <v>2</v>
      </c>
      <c r="K6" s="18" t="str">
        <f>B10</f>
        <v>No Data</v>
      </c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</row>
    <row r="7" spans="1:67" ht="12.75">
      <c r="J7" s="13">
        <v>3</v>
      </c>
      <c r="K7" s="18" t="str">
        <f>C10</f>
        <v>No Data</v>
      </c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</row>
    <row r="8" spans="1:67" ht="12.75">
      <c r="J8" s="13">
        <v>4</v>
      </c>
      <c r="K8" s="18" t="str">
        <f>D10</f>
        <v>No Data</v>
      </c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</row>
    <row r="9" spans="1:67" s="7" customFormat="1" ht="13.5" thickBot="1">
      <c r="A9" s="7" t="s">
        <v>642</v>
      </c>
      <c r="B9" s="7" t="s">
        <v>643</v>
      </c>
      <c r="C9" s="7" t="s">
        <v>644</v>
      </c>
      <c r="D9" s="7" t="s">
        <v>645</v>
      </c>
      <c r="E9" s="7" t="s">
        <v>646</v>
      </c>
      <c r="F9" s="7" t="s">
        <v>647</v>
      </c>
      <c r="G9" s="7" t="s">
        <v>648</v>
      </c>
      <c r="J9" s="13">
        <v>5</v>
      </c>
      <c r="K9" s="18" t="str">
        <f>E10</f>
        <v>No Data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</row>
    <row r="10" spans="1:67" s="7" customFormat="1" ht="13.5" thickBot="1">
      <c r="A10" s="12" t="s">
        <v>692</v>
      </c>
      <c r="B10" s="12" t="s">
        <v>692</v>
      </c>
      <c r="C10" s="12" t="s">
        <v>692</v>
      </c>
      <c r="D10" s="12" t="s">
        <v>692</v>
      </c>
      <c r="E10" s="12" t="s">
        <v>692</v>
      </c>
      <c r="F10" s="12" t="s">
        <v>692</v>
      </c>
      <c r="G10" s="12" t="s">
        <v>692</v>
      </c>
      <c r="J10" s="13">
        <v>6</v>
      </c>
      <c r="K10" s="18" t="str">
        <f>F10</f>
        <v>No Data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</row>
    <row r="11" spans="1:67" s="7" customFormat="1" ht="12.75">
      <c r="A11" s="8"/>
      <c r="B11" s="8"/>
      <c r="C11" s="8"/>
      <c r="D11" s="8"/>
      <c r="E11" s="8"/>
      <c r="F11" s="8"/>
      <c r="G11" s="8"/>
      <c r="J11" s="13">
        <v>7</v>
      </c>
      <c r="K11" s="18" t="str">
        <f>G10</f>
        <v>No Data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</row>
    <row r="12" spans="1:67" s="7" customFormat="1" ht="13.5" thickBot="1">
      <c r="A12" s="7" t="s">
        <v>649</v>
      </c>
      <c r="B12" s="7" t="s">
        <v>650</v>
      </c>
      <c r="C12" s="7" t="s">
        <v>651</v>
      </c>
      <c r="D12" s="7" t="s">
        <v>652</v>
      </c>
      <c r="E12" s="7" t="s">
        <v>653</v>
      </c>
      <c r="F12" s="7" t="s">
        <v>654</v>
      </c>
      <c r="G12" s="7" t="s">
        <v>655</v>
      </c>
      <c r="J12" s="13">
        <v>8</v>
      </c>
      <c r="K12" s="18" t="str">
        <f>A13</f>
        <v>No Data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</row>
    <row r="13" spans="1:67" s="7" customFormat="1" ht="13.5" thickBot="1">
      <c r="A13" s="12" t="s">
        <v>692</v>
      </c>
      <c r="B13" s="12" t="s">
        <v>692</v>
      </c>
      <c r="C13" s="12" t="s">
        <v>692</v>
      </c>
      <c r="D13" s="12" t="s">
        <v>692</v>
      </c>
      <c r="E13" s="12" t="s">
        <v>692</v>
      </c>
      <c r="F13" s="12" t="s">
        <v>692</v>
      </c>
      <c r="G13" s="12" t="s">
        <v>692</v>
      </c>
      <c r="J13" s="13">
        <v>9</v>
      </c>
      <c r="K13" s="18" t="str">
        <f>B13</f>
        <v>No Data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</row>
    <row r="14" spans="1:67" s="7" customFormat="1" ht="12.75">
      <c r="J14" s="13">
        <v>10</v>
      </c>
      <c r="K14" s="18" t="str">
        <f>C13</f>
        <v>No Data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</row>
    <row r="15" spans="1:67" s="7" customFormat="1" ht="13.5" thickBot="1">
      <c r="A15" s="7" t="s">
        <v>656</v>
      </c>
      <c r="B15" s="7" t="s">
        <v>657</v>
      </c>
      <c r="C15" s="7" t="s">
        <v>658</v>
      </c>
      <c r="D15" s="7" t="s">
        <v>659</v>
      </c>
      <c r="E15" s="7" t="s">
        <v>660</v>
      </c>
      <c r="F15" s="7" t="s">
        <v>661</v>
      </c>
      <c r="G15" s="7" t="s">
        <v>662</v>
      </c>
      <c r="J15" s="13">
        <v>11</v>
      </c>
      <c r="K15" s="18" t="str">
        <f>D13</f>
        <v>No Data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</row>
    <row r="16" spans="1:67" s="7" customFormat="1" ht="13.5" thickBot="1">
      <c r="A16" s="12" t="s">
        <v>692</v>
      </c>
      <c r="B16" s="12" t="s">
        <v>692</v>
      </c>
      <c r="C16" s="12" t="s">
        <v>692</v>
      </c>
      <c r="D16" s="12" t="s">
        <v>692</v>
      </c>
      <c r="E16" s="12" t="s">
        <v>692</v>
      </c>
      <c r="F16" s="12" t="s">
        <v>692</v>
      </c>
      <c r="G16" s="12" t="s">
        <v>692</v>
      </c>
      <c r="J16" s="13">
        <v>12</v>
      </c>
      <c r="K16" s="18" t="str">
        <f>E13</f>
        <v>No Data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</row>
    <row r="17" spans="1:67" s="7" customFormat="1" ht="12.75">
      <c r="J17" s="13">
        <v>13</v>
      </c>
      <c r="K17" s="18" t="str">
        <f>F13</f>
        <v>No Data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</row>
    <row r="18" spans="1:67" s="7" customFormat="1" ht="13.5" thickBot="1">
      <c r="A18" s="7" t="s">
        <v>663</v>
      </c>
      <c r="B18" s="7" t="s">
        <v>664</v>
      </c>
      <c r="C18" s="7" t="s">
        <v>665</v>
      </c>
      <c r="D18" s="7" t="s">
        <v>666</v>
      </c>
      <c r="E18" s="7" t="s">
        <v>667</v>
      </c>
      <c r="F18" s="7" t="s">
        <v>668</v>
      </c>
      <c r="G18" s="7" t="s">
        <v>669</v>
      </c>
      <c r="J18" s="13">
        <v>14</v>
      </c>
      <c r="K18" s="18" t="str">
        <f>G13</f>
        <v>No Data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</row>
    <row r="19" spans="1:67" s="7" customFormat="1" ht="13.5" thickBot="1">
      <c r="A19" s="12" t="s">
        <v>692</v>
      </c>
      <c r="B19" s="12" t="s">
        <v>692</v>
      </c>
      <c r="C19" s="12" t="s">
        <v>692</v>
      </c>
      <c r="D19" s="12" t="s">
        <v>692</v>
      </c>
      <c r="E19" s="12" t="s">
        <v>692</v>
      </c>
      <c r="F19" s="12" t="s">
        <v>692</v>
      </c>
      <c r="G19" s="12" t="s">
        <v>692</v>
      </c>
      <c r="J19" s="13">
        <v>15</v>
      </c>
      <c r="K19" s="18" t="str">
        <f>A16</f>
        <v>No Data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</row>
    <row r="20" spans="1:67" s="7" customFormat="1" ht="12.75">
      <c r="J20" s="13">
        <v>16</v>
      </c>
      <c r="K20" s="18" t="str">
        <f>B16</f>
        <v>No Data</v>
      </c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</row>
    <row r="21" spans="1:67" s="7" customFormat="1" ht="13.5" thickBot="1">
      <c r="A21" s="7" t="s">
        <v>670</v>
      </c>
      <c r="B21" s="7" t="s">
        <v>671</v>
      </c>
      <c r="C21" s="7" t="s">
        <v>672</v>
      </c>
      <c r="D21" s="7" t="s">
        <v>673</v>
      </c>
      <c r="E21" s="7" t="s">
        <v>674</v>
      </c>
      <c r="F21" s="7" t="s">
        <v>675</v>
      </c>
      <c r="G21" s="7" t="s">
        <v>676</v>
      </c>
      <c r="J21" s="13">
        <v>17</v>
      </c>
      <c r="K21" s="18" t="str">
        <f>C16</f>
        <v>No Data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</row>
    <row r="22" spans="1:67" s="7" customFormat="1" ht="13.5" thickBot="1">
      <c r="A22" s="12" t="s">
        <v>692</v>
      </c>
      <c r="B22" s="12" t="s">
        <v>692</v>
      </c>
      <c r="C22" s="12" t="s">
        <v>692</v>
      </c>
      <c r="D22" s="12" t="s">
        <v>692</v>
      </c>
      <c r="E22" s="12" t="s">
        <v>692</v>
      </c>
      <c r="F22" s="12" t="s">
        <v>692</v>
      </c>
      <c r="G22" s="12" t="s">
        <v>692</v>
      </c>
      <c r="J22" s="13">
        <v>18</v>
      </c>
      <c r="K22" s="18" t="str">
        <f>D16</f>
        <v>No Data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</row>
    <row r="23" spans="1:67" s="7" customFormat="1" ht="12.75">
      <c r="J23" s="13">
        <v>19</v>
      </c>
      <c r="K23" s="18" t="str">
        <f>E16</f>
        <v>No Data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</row>
    <row r="24" spans="1:67" s="7" customFormat="1" ht="13.5" thickBot="1">
      <c r="A24" s="7" t="s">
        <v>677</v>
      </c>
      <c r="B24" s="7" t="s">
        <v>678</v>
      </c>
      <c r="C24" s="7" t="s">
        <v>679</v>
      </c>
      <c r="D24" s="7" t="s">
        <v>680</v>
      </c>
      <c r="E24" s="7" t="s">
        <v>681</v>
      </c>
      <c r="F24" s="7" t="s">
        <v>682</v>
      </c>
      <c r="G24" s="7" t="s">
        <v>683</v>
      </c>
      <c r="J24" s="13">
        <v>20</v>
      </c>
      <c r="K24" s="18" t="str">
        <f>F16</f>
        <v>No Data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</row>
    <row r="25" spans="1:67" s="7" customFormat="1" ht="13.5" thickBot="1">
      <c r="A25" s="12" t="s">
        <v>692</v>
      </c>
      <c r="B25" s="12" t="s">
        <v>692</v>
      </c>
      <c r="C25" s="12" t="s">
        <v>692</v>
      </c>
      <c r="D25" s="12" t="s">
        <v>692</v>
      </c>
      <c r="E25" s="12" t="s">
        <v>692</v>
      </c>
      <c r="F25" s="12" t="s">
        <v>692</v>
      </c>
      <c r="G25" s="12" t="s">
        <v>692</v>
      </c>
      <c r="J25" s="13">
        <v>21</v>
      </c>
      <c r="K25" s="18" t="str">
        <f>G16</f>
        <v>No Data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</row>
    <row r="26" spans="1:67" s="7" customFormat="1" ht="12.75">
      <c r="J26" s="13">
        <v>22</v>
      </c>
      <c r="K26" s="18" t="str">
        <f>A19</f>
        <v>No Data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</row>
    <row r="27" spans="1:67" s="7" customFormat="1" ht="13.5" thickBot="1">
      <c r="A27" s="7" t="s">
        <v>632</v>
      </c>
      <c r="B27" s="7" t="s">
        <v>633</v>
      </c>
      <c r="C27" s="7" t="s">
        <v>634</v>
      </c>
      <c r="D27" s="7" t="s">
        <v>635</v>
      </c>
      <c r="E27" s="7" t="s">
        <v>636</v>
      </c>
      <c r="F27" s="7" t="s">
        <v>637</v>
      </c>
      <c r="G27" s="7" t="s">
        <v>638</v>
      </c>
      <c r="J27" s="13">
        <v>23</v>
      </c>
      <c r="K27" s="18" t="str">
        <f>B19</f>
        <v>No Data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</row>
    <row r="28" spans="1:67" s="7" customFormat="1" ht="13.5" thickBot="1">
      <c r="A28" s="12" t="str">
        <f>IF(ISBLANK(B4),"",(IF(ISBLANK(VLOOKUP(B4,#REF!,8,FALSE)),"No Data", VLOOKUP(B4,#REF!,8,FALSE))))</f>
        <v/>
      </c>
      <c r="B28" s="12" t="str">
        <f>IF(ISBLANK(B4),"",(IF(ISBLANK(VLOOKUP(B4,#REF!,10,FALSE)),"No Data", VLOOKUP(B4,#REF!,10,FALSE))))</f>
        <v/>
      </c>
      <c r="C28" s="12" t="str">
        <f>IF(ISBLANK(B4),"",(IF(ISBLANK(VLOOKUP(B4,#REF!,12,FALSE)),"No Data", VLOOKUP(B4,#REF!,12,FALSE))))</f>
        <v/>
      </c>
      <c r="D28" s="12" t="str">
        <f>IF(ISBLANK(B4),"",(IF(ISBLANK(VLOOKUP(B4,#REF!,14,FALSE)),"No Data", VLOOKUP(B4,#REF!,14,FALSE))))</f>
        <v/>
      </c>
      <c r="E28" s="12" t="str">
        <f>IF(ISBLANK(B4),"",(IF(ISBLANK(VLOOKUP(B4,#REF!,16,FALSE)),"No Data", VLOOKUP(B4,#REF!,16,FALSE))))</f>
        <v/>
      </c>
      <c r="F28" s="12" t="str">
        <f>IF(ISBLANK(B4),"",(IF(ISBLANK(VLOOKUP(B4,#REF!,18,FALSE)),"No Data", VLOOKUP(B4,#REF!,18,FALSE))))</f>
        <v/>
      </c>
      <c r="G28" s="12" t="str">
        <f>IF(ISBLANK(B4),"",(IF(ISBLANK(VLOOKUP(B4,#REF!,20,FALSE)),"No Data", VLOOKUP(B4,#REF!,20,FALSE))))</f>
        <v/>
      </c>
      <c r="J28" s="13">
        <v>24</v>
      </c>
      <c r="K28" s="18" t="str">
        <f>C19</f>
        <v>No Data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</row>
    <row r="29" spans="1:67" s="7" customFormat="1" ht="12.75">
      <c r="J29" s="13">
        <v>25</v>
      </c>
      <c r="K29" s="18" t="str">
        <f>D19</f>
        <v>No Data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</row>
    <row r="30" spans="1:67" s="7" customFormat="1" ht="13.5" thickBot="1">
      <c r="A30" s="7" t="s">
        <v>639</v>
      </c>
      <c r="B30" s="7" t="s">
        <v>640</v>
      </c>
      <c r="C30" s="7" t="s">
        <v>641</v>
      </c>
      <c r="J30" s="13">
        <v>26</v>
      </c>
      <c r="K30" s="18" t="str">
        <f>E19</f>
        <v>No Data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</row>
    <row r="31" spans="1:67" s="7" customFormat="1" ht="13.5" thickBot="1">
      <c r="A31" s="12" t="str">
        <f>IF(ISBLANK(B4),"",(IF(ISBLANK(VLOOKUP(B4,#REF!,22,FALSE)),"No Data", VLOOKUP(B4,#REF!,22,FALSE))))</f>
        <v/>
      </c>
      <c r="B31" s="12" t="str">
        <f>IF(ISBLANK(B4),"",(IF(ISBLANK(VLOOKUP(B4,#REF!,24,FALSE)),"No Data", VLOOKUP(B4,#REF!,24,FALSE))))</f>
        <v/>
      </c>
      <c r="C31" s="12" t="str">
        <f>IF(ISBLANK(B4),"",(IF(ISBLANK(VLOOKUP(B4,#REF!,26,FALSE)),"No Data", VLOOKUP(B4,#REF!,26,FALSE))))</f>
        <v/>
      </c>
      <c r="J31" s="13">
        <v>27</v>
      </c>
      <c r="K31" s="18" t="str">
        <f>F19</f>
        <v>No Data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</row>
    <row r="32" spans="1:67" ht="12.75">
      <c r="J32" s="13">
        <v>28</v>
      </c>
      <c r="K32" s="18" t="str">
        <f>G19</f>
        <v>No Data</v>
      </c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</row>
    <row r="33" spans="1:67" ht="12.75">
      <c r="A33" s="11" t="s">
        <v>691</v>
      </c>
      <c r="J33" s="13">
        <v>29</v>
      </c>
      <c r="K33" s="18" t="str">
        <f>A22</f>
        <v>No Data</v>
      </c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</row>
    <row r="34" spans="1:67" ht="12.75">
      <c r="J34" s="13">
        <v>30</v>
      </c>
      <c r="K34" s="18" t="str">
        <f>B22</f>
        <v>No Data</v>
      </c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</row>
    <row r="35" spans="1:67" ht="12.75">
      <c r="J35" s="13">
        <v>31</v>
      </c>
      <c r="K35" s="18" t="str">
        <f>C22</f>
        <v>No Data</v>
      </c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</row>
    <row r="36" spans="1:67" ht="12.75">
      <c r="J36" s="13">
        <v>32</v>
      </c>
      <c r="K36" s="18" t="str">
        <f>D22</f>
        <v>No Data</v>
      </c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</row>
    <row r="37" spans="1:67" ht="12.75">
      <c r="J37" s="13">
        <v>33</v>
      </c>
      <c r="K37" s="18" t="str">
        <f>E22</f>
        <v>No Data</v>
      </c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</row>
    <row r="38" spans="1:67" ht="12.75">
      <c r="J38" s="13">
        <v>34</v>
      </c>
      <c r="K38" s="18" t="str">
        <f>F22</f>
        <v>No Data</v>
      </c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</row>
    <row r="39" spans="1:67" ht="12.75">
      <c r="J39" s="13">
        <v>35</v>
      </c>
      <c r="K39" s="18" t="str">
        <f>G22</f>
        <v>No Data</v>
      </c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</row>
    <row r="40" spans="1:67" ht="12.75">
      <c r="J40" s="13">
        <v>36</v>
      </c>
      <c r="K40" s="18" t="str">
        <f>A25</f>
        <v>No Data</v>
      </c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</row>
    <row r="41" spans="1:67" ht="12.75">
      <c r="J41" s="13">
        <v>37</v>
      </c>
      <c r="K41" s="18" t="str">
        <f>B25</f>
        <v>No Data</v>
      </c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</row>
    <row r="42" spans="1:67" ht="12.75">
      <c r="J42" s="13">
        <v>38</v>
      </c>
      <c r="K42" s="18" t="str">
        <f>C25</f>
        <v>No Data</v>
      </c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</row>
    <row r="43" spans="1:67" ht="12.75">
      <c r="J43" s="13">
        <v>39</v>
      </c>
      <c r="K43" s="18" t="str">
        <f>D25</f>
        <v>No Data</v>
      </c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</row>
    <row r="44" spans="1:67" ht="12.75">
      <c r="J44" s="13">
        <v>40</v>
      </c>
      <c r="K44" s="18" t="str">
        <f>E25</f>
        <v>No Data</v>
      </c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</row>
    <row r="45" spans="1:67" ht="12.75">
      <c r="J45" s="13">
        <v>41</v>
      </c>
      <c r="K45" s="18" t="str">
        <f>F25</f>
        <v>No Data</v>
      </c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</row>
    <row r="46" spans="1:67" ht="12.75">
      <c r="J46" s="13">
        <v>42</v>
      </c>
      <c r="K46" s="18" t="str">
        <f>G25</f>
        <v>No Data</v>
      </c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</row>
    <row r="47" spans="1:67" ht="12.75">
      <c r="J47" s="13">
        <v>43</v>
      </c>
      <c r="K47" s="18" t="str">
        <f>A28</f>
        <v/>
      </c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</row>
    <row r="48" spans="1:67" ht="12.75">
      <c r="J48" s="13">
        <v>44</v>
      </c>
      <c r="K48" s="18" t="str">
        <f>B28</f>
        <v/>
      </c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</row>
    <row r="49" spans="10:67" ht="12.75">
      <c r="J49" s="13">
        <v>45</v>
      </c>
      <c r="K49" s="18" t="str">
        <f>C28</f>
        <v/>
      </c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</row>
    <row r="50" spans="10:67" ht="12.75">
      <c r="J50" s="13">
        <v>46</v>
      </c>
      <c r="K50" s="18" t="str">
        <f>D28</f>
        <v/>
      </c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</row>
    <row r="51" spans="10:67" ht="12.75">
      <c r="J51" s="13">
        <v>47</v>
      </c>
      <c r="K51" s="18" t="str">
        <f>E28</f>
        <v/>
      </c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</row>
    <row r="52" spans="10:67" ht="12.75">
      <c r="J52" s="13">
        <v>48</v>
      </c>
      <c r="K52" s="18" t="str">
        <f>F28</f>
        <v/>
      </c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</row>
    <row r="53" spans="10:67" ht="12.75">
      <c r="J53" s="13">
        <v>49</v>
      </c>
      <c r="K53" s="18" t="str">
        <f>G28</f>
        <v/>
      </c>
    </row>
    <row r="54" spans="10:67" ht="12.75">
      <c r="J54" s="13">
        <v>50</v>
      </c>
      <c r="K54" s="18" t="str">
        <f>A31</f>
        <v/>
      </c>
    </row>
    <row r="55" spans="10:67" ht="12.75">
      <c r="J55" s="13">
        <v>51</v>
      </c>
      <c r="K55" s="18" t="str">
        <f>B31</f>
        <v/>
      </c>
    </row>
    <row r="56" spans="10:67" ht="12.75" hidden="1">
      <c r="J56" s="13">
        <v>52</v>
      </c>
      <c r="K56" s="18" t="str">
        <f>C31</f>
        <v/>
      </c>
    </row>
    <row r="57" spans="10:67" ht="12.75" hidden="1"/>
    <row r="58" spans="10:67" ht="12.75" hidden="1"/>
    <row r="59" spans="10:67" ht="12.75" hidden="1"/>
    <row r="60" spans="10:67" ht="12.75" hidden="1"/>
    <row r="61" spans="10:67" ht="12.75" hidden="1"/>
    <row r="62" spans="10:67" ht="12.75" hidden="1"/>
    <row r="63" spans="10:67" ht="12.75" hidden="1"/>
    <row r="64" spans="10:67" ht="12.75" hidden="1"/>
    <row r="65" ht="12.75" hidden="1"/>
    <row r="66" ht="12.75" hidden="1"/>
    <row r="67" ht="12.75" hidden="1"/>
    <row r="68" ht="12.75" hidden="1"/>
    <row r="69" ht="12.75" hidden="1"/>
    <row r="70" ht="12.75" hidden="1"/>
    <row r="71" ht="12.75" hidden="1"/>
    <row r="72" ht="12.75" hidden="1"/>
    <row r="73" ht="12.75" hidden="1"/>
    <row r="74" ht="12.75" hidden="1"/>
    <row r="75" ht="12.75" hidden="1"/>
    <row r="76" ht="12.75" hidden="1"/>
    <row r="77" ht="12.75" hidden="1"/>
    <row r="78" ht="12.75" hidden="1"/>
    <row r="79" ht="12.75" hidden="1"/>
    <row r="80" ht="12.75" hidden="1"/>
    <row r="81" ht="12.75" hidden="1"/>
    <row r="82" ht="12.75" hidden="1"/>
    <row r="83" ht="12.75" hidden="1"/>
    <row r="84" ht="12.75" hidden="1"/>
    <row r="85" ht="12.75" hidden="1"/>
    <row r="86" ht="12.75" hidden="1"/>
    <row r="87" ht="12.75" hidden="1"/>
    <row r="88" ht="12.75" hidden="1"/>
    <row r="89" ht="12.75" hidden="1"/>
    <row r="90" ht="12.75" hidden="1"/>
    <row r="91" ht="12.75" hidden="1"/>
    <row r="92" ht="12.75" hidden="1"/>
    <row r="93" ht="12.75" hidden="1"/>
    <row r="94" ht="12.75" hidden="1"/>
    <row r="95" ht="12.75" hidden="1"/>
    <row r="96" ht="12.75" hidden="1"/>
    <row r="97" ht="12.75" hidden="1"/>
    <row r="98" ht="12.75" hidden="1"/>
    <row r="99" ht="12.75" hidden="1"/>
    <row r="100" ht="12.75" hidden="1" customHeight="1"/>
    <row r="101" ht="12.75" hidden="1" customHeight="1"/>
    <row r="102" ht="12.75" hidden="1" customHeight="1"/>
  </sheetData>
  <sheetProtection selectLockedCells="1"/>
  <mergeCells count="4">
    <mergeCell ref="C6:D6"/>
    <mergeCell ref="E6:G6"/>
    <mergeCell ref="C4:D4"/>
    <mergeCell ref="E4:G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7"/>
  <dimension ref="A1:BP42"/>
  <sheetViews>
    <sheetView workbookViewId="0">
      <selection activeCell="H20" sqref="H20"/>
    </sheetView>
  </sheetViews>
  <sheetFormatPr defaultColWidth="0" defaultRowHeight="0" customHeight="1" zeroHeight="1"/>
  <cols>
    <col min="1" max="8" width="18" style="4" customWidth="1"/>
    <col min="9" max="36" width="9.140625" style="15" hidden="1" customWidth="1"/>
    <col min="37" max="68" width="0" style="15" hidden="1" customWidth="1"/>
    <col min="69" max="16384" width="9.140625" style="4" hidden="1"/>
  </cols>
  <sheetData>
    <row r="1" spans="1:35" ht="12.75" customHeight="1">
      <c r="A1" s="3"/>
      <c r="B1" s="5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</row>
    <row r="2" spans="1:35" ht="12.75">
      <c r="A2" s="3"/>
      <c r="B2" s="6" t="s">
        <v>688</v>
      </c>
      <c r="E2" s="4" t="s">
        <v>687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</row>
    <row r="3" spans="1:35" ht="13.5" thickBot="1">
      <c r="A3" s="3"/>
      <c r="B3" s="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</row>
    <row r="4" spans="1:35" ht="13.5" thickBot="1">
      <c r="A4" s="13" t="s">
        <v>690</v>
      </c>
      <c r="B4" s="19"/>
      <c r="C4" s="44" t="s">
        <v>627</v>
      </c>
      <c r="D4" s="45"/>
      <c r="E4" s="41" t="str">
        <f>IF(ISBLANK(B4),"",VLOOKUP(B4,#REF!,2,FALSE))</f>
        <v/>
      </c>
      <c r="F4" s="42"/>
      <c r="G4" s="43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</row>
    <row r="5" spans="1:35" ht="13.5" thickBot="1">
      <c r="A5" s="13"/>
      <c r="B5" s="8"/>
      <c r="C5" s="13"/>
      <c r="D5" s="13"/>
      <c r="E5" s="7"/>
      <c r="F5" s="7"/>
      <c r="G5" s="7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</row>
    <row r="6" spans="1:35" ht="12" customHeight="1" thickBot="1">
      <c r="A6" s="13" t="s">
        <v>689</v>
      </c>
      <c r="B6" s="12" t="str">
        <f>IF(ISBLANK(B4),"",VLOOKUP(B4,#REF!,4,FALSE))</f>
        <v/>
      </c>
      <c r="C6" s="44" t="s">
        <v>628</v>
      </c>
      <c r="D6" s="45"/>
      <c r="E6" s="41" t="str">
        <f>IF(ISBLANK(B4),"",VLOOKUP(B4,#REF!,3,FALSE))</f>
        <v/>
      </c>
      <c r="F6" s="42"/>
      <c r="G6" s="43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12.75"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ht="12.75"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ht="13.5" thickBot="1">
      <c r="A9" s="7" t="s">
        <v>642</v>
      </c>
      <c r="B9" s="7" t="s">
        <v>643</v>
      </c>
      <c r="C9" s="7" t="s">
        <v>644</v>
      </c>
      <c r="D9" s="7" t="s">
        <v>645</v>
      </c>
      <c r="E9" s="7" t="s">
        <v>646</v>
      </c>
      <c r="F9" s="7" t="s">
        <v>647</v>
      </c>
      <c r="G9" s="7" t="s">
        <v>648</v>
      </c>
    </row>
    <row r="10" spans="1:35" ht="13.5" thickBot="1">
      <c r="A10" s="12" t="s">
        <v>692</v>
      </c>
      <c r="B10" s="12" t="s">
        <v>692</v>
      </c>
      <c r="C10" s="12" t="s">
        <v>692</v>
      </c>
      <c r="D10" s="12" t="s">
        <v>692</v>
      </c>
      <c r="E10" s="12" t="s">
        <v>692</v>
      </c>
      <c r="F10" s="12" t="s">
        <v>692</v>
      </c>
      <c r="G10" s="12" t="s">
        <v>692</v>
      </c>
    </row>
    <row r="11" spans="1:35" ht="13.5" thickBot="1">
      <c r="A11" s="12" t="s">
        <v>692</v>
      </c>
      <c r="B11" s="12" t="s">
        <v>692</v>
      </c>
      <c r="C11" s="12" t="s">
        <v>692</v>
      </c>
      <c r="D11" s="12" t="s">
        <v>692</v>
      </c>
      <c r="E11" s="12" t="s">
        <v>692</v>
      </c>
      <c r="F11" s="12" t="s">
        <v>692</v>
      </c>
      <c r="G11" s="12" t="s">
        <v>692</v>
      </c>
    </row>
    <row r="12" spans="1:35" ht="12.75">
      <c r="A12" s="7"/>
      <c r="B12" s="7"/>
      <c r="C12" s="7"/>
      <c r="D12" s="7"/>
      <c r="E12" s="7"/>
      <c r="F12" s="7"/>
      <c r="G12" s="7"/>
    </row>
    <row r="13" spans="1:35" ht="13.5" thickBot="1">
      <c r="A13" s="7" t="s">
        <v>649</v>
      </c>
      <c r="B13" s="7" t="s">
        <v>650</v>
      </c>
      <c r="C13" s="7" t="s">
        <v>651</v>
      </c>
      <c r="D13" s="7" t="s">
        <v>652</v>
      </c>
      <c r="E13" s="7" t="s">
        <v>653</v>
      </c>
      <c r="F13" s="7" t="s">
        <v>654</v>
      </c>
      <c r="G13" s="7" t="s">
        <v>655</v>
      </c>
    </row>
    <row r="14" spans="1:35" ht="13.5" thickBot="1">
      <c r="A14" s="12" t="s">
        <v>692</v>
      </c>
      <c r="B14" s="12" t="s">
        <v>692</v>
      </c>
      <c r="C14" s="12" t="s">
        <v>692</v>
      </c>
      <c r="D14" s="12" t="s">
        <v>692</v>
      </c>
      <c r="E14" s="12" t="s">
        <v>692</v>
      </c>
      <c r="F14" s="12" t="s">
        <v>692</v>
      </c>
      <c r="G14" s="12" t="s">
        <v>692</v>
      </c>
    </row>
    <row r="15" spans="1:35" ht="13.5" thickBot="1">
      <c r="A15" s="12" t="s">
        <v>692</v>
      </c>
      <c r="B15" s="12" t="s">
        <v>692</v>
      </c>
      <c r="C15" s="12" t="s">
        <v>692</v>
      </c>
      <c r="D15" s="12" t="s">
        <v>692</v>
      </c>
      <c r="E15" s="12" t="s">
        <v>692</v>
      </c>
      <c r="F15" s="12" t="s">
        <v>692</v>
      </c>
      <c r="G15" s="12" t="s">
        <v>692</v>
      </c>
    </row>
    <row r="16" spans="1:35" ht="12.75">
      <c r="A16" s="7"/>
      <c r="B16" s="7"/>
      <c r="C16" s="7"/>
      <c r="D16" s="7"/>
      <c r="E16" s="7"/>
      <c r="F16" s="7"/>
      <c r="G16" s="7"/>
    </row>
    <row r="17" spans="1:7" ht="13.5" thickBot="1">
      <c r="A17" s="7" t="s">
        <v>656</v>
      </c>
      <c r="B17" s="7" t="s">
        <v>657</v>
      </c>
      <c r="C17" s="7" t="s">
        <v>658</v>
      </c>
      <c r="D17" s="7" t="s">
        <v>659</v>
      </c>
      <c r="E17" s="7" t="s">
        <v>660</v>
      </c>
      <c r="F17" s="7" t="s">
        <v>661</v>
      </c>
      <c r="G17" s="7" t="s">
        <v>662</v>
      </c>
    </row>
    <row r="18" spans="1:7" ht="13.5" thickBot="1">
      <c r="A18" s="12" t="s">
        <v>692</v>
      </c>
      <c r="B18" s="12" t="s">
        <v>692</v>
      </c>
      <c r="C18" s="12" t="s">
        <v>692</v>
      </c>
      <c r="D18" s="12" t="s">
        <v>692</v>
      </c>
      <c r="E18" s="12" t="s">
        <v>692</v>
      </c>
      <c r="F18" s="12" t="s">
        <v>692</v>
      </c>
      <c r="G18" s="12" t="s">
        <v>692</v>
      </c>
    </row>
    <row r="19" spans="1:7" ht="13.5" thickBot="1">
      <c r="A19" s="12" t="s">
        <v>692</v>
      </c>
      <c r="B19" s="12" t="s">
        <v>692</v>
      </c>
      <c r="C19" s="12" t="s">
        <v>692</v>
      </c>
      <c r="D19" s="12" t="s">
        <v>692</v>
      </c>
      <c r="E19" s="12" t="s">
        <v>692</v>
      </c>
      <c r="F19" s="12" t="s">
        <v>692</v>
      </c>
      <c r="G19" s="12" t="s">
        <v>692</v>
      </c>
    </row>
    <row r="20" spans="1:7" ht="12.75">
      <c r="A20" s="7"/>
      <c r="B20" s="7"/>
      <c r="C20" s="7"/>
      <c r="D20" s="7"/>
      <c r="E20" s="7"/>
      <c r="F20" s="7"/>
      <c r="G20" s="7"/>
    </row>
    <row r="21" spans="1:7" ht="13.5" thickBot="1">
      <c r="A21" s="7" t="s">
        <v>663</v>
      </c>
      <c r="B21" s="7" t="s">
        <v>664</v>
      </c>
      <c r="C21" s="7" t="s">
        <v>665</v>
      </c>
      <c r="D21" s="7" t="s">
        <v>666</v>
      </c>
      <c r="E21" s="7" t="s">
        <v>667</v>
      </c>
      <c r="F21" s="7" t="s">
        <v>668</v>
      </c>
      <c r="G21" s="7" t="s">
        <v>669</v>
      </c>
    </row>
    <row r="22" spans="1:7" ht="13.5" thickBot="1">
      <c r="A22" s="12" t="s">
        <v>692</v>
      </c>
      <c r="B22" s="12" t="s">
        <v>692</v>
      </c>
      <c r="C22" s="12" t="s">
        <v>692</v>
      </c>
      <c r="D22" s="12" t="s">
        <v>692</v>
      </c>
      <c r="E22" s="12" t="s">
        <v>692</v>
      </c>
      <c r="F22" s="12" t="s">
        <v>692</v>
      </c>
      <c r="G22" s="12" t="s">
        <v>692</v>
      </c>
    </row>
    <row r="23" spans="1:7" ht="13.5" thickBot="1">
      <c r="A23" s="12" t="s">
        <v>692</v>
      </c>
      <c r="B23" s="12" t="s">
        <v>692</v>
      </c>
      <c r="C23" s="12" t="s">
        <v>692</v>
      </c>
      <c r="D23" s="12" t="s">
        <v>692</v>
      </c>
      <c r="E23" s="12" t="s">
        <v>692</v>
      </c>
      <c r="F23" s="12" t="s">
        <v>692</v>
      </c>
      <c r="G23" s="12" t="s">
        <v>692</v>
      </c>
    </row>
    <row r="24" spans="1:7" ht="12.75">
      <c r="A24" s="7"/>
      <c r="B24" s="7"/>
      <c r="C24" s="7"/>
      <c r="D24" s="7"/>
      <c r="E24" s="7"/>
      <c r="F24" s="7"/>
      <c r="G24" s="7"/>
    </row>
    <row r="25" spans="1:7" ht="13.5" thickBot="1">
      <c r="A25" s="7" t="s">
        <v>670</v>
      </c>
      <c r="B25" s="7" t="s">
        <v>671</v>
      </c>
      <c r="C25" s="7" t="s">
        <v>672</v>
      </c>
      <c r="D25" s="7" t="s">
        <v>673</v>
      </c>
      <c r="E25" s="7" t="s">
        <v>674</v>
      </c>
      <c r="F25" s="7" t="s">
        <v>675</v>
      </c>
      <c r="G25" s="7" t="s">
        <v>676</v>
      </c>
    </row>
    <row r="26" spans="1:7" ht="13.5" thickBot="1">
      <c r="A26" s="12" t="s">
        <v>692</v>
      </c>
      <c r="B26" s="12" t="s">
        <v>692</v>
      </c>
      <c r="C26" s="12" t="s">
        <v>692</v>
      </c>
      <c r="D26" s="12" t="s">
        <v>692</v>
      </c>
      <c r="E26" s="12" t="s">
        <v>692</v>
      </c>
      <c r="F26" s="12" t="s">
        <v>692</v>
      </c>
      <c r="G26" s="12" t="s">
        <v>692</v>
      </c>
    </row>
    <row r="27" spans="1:7" ht="13.5" thickBot="1">
      <c r="A27" s="12" t="s">
        <v>692</v>
      </c>
      <c r="B27" s="12" t="s">
        <v>692</v>
      </c>
      <c r="C27" s="12" t="s">
        <v>692</v>
      </c>
      <c r="D27" s="12" t="s">
        <v>692</v>
      </c>
      <c r="E27" s="12" t="s">
        <v>692</v>
      </c>
      <c r="F27" s="12" t="s">
        <v>692</v>
      </c>
      <c r="G27" s="12" t="s">
        <v>692</v>
      </c>
    </row>
    <row r="28" spans="1:7" ht="12.75">
      <c r="A28" s="7"/>
      <c r="B28" s="7"/>
      <c r="C28" s="7"/>
      <c r="D28" s="7"/>
      <c r="E28" s="7"/>
      <c r="F28" s="7"/>
      <c r="G28" s="7"/>
    </row>
    <row r="29" spans="1:7" ht="13.5" thickBot="1">
      <c r="A29" s="7" t="s">
        <v>677</v>
      </c>
      <c r="B29" s="7" t="s">
        <v>678</v>
      </c>
      <c r="C29" s="7" t="s">
        <v>679</v>
      </c>
      <c r="D29" s="7" t="s">
        <v>680</v>
      </c>
      <c r="E29" s="7" t="s">
        <v>681</v>
      </c>
      <c r="F29" s="7" t="s">
        <v>682</v>
      </c>
      <c r="G29" s="7" t="s">
        <v>683</v>
      </c>
    </row>
    <row r="30" spans="1:7" ht="13.5" thickBot="1">
      <c r="A30" s="12" t="s">
        <v>692</v>
      </c>
      <c r="B30" s="12" t="s">
        <v>692</v>
      </c>
      <c r="C30" s="12" t="s">
        <v>692</v>
      </c>
      <c r="D30" s="12" t="s">
        <v>692</v>
      </c>
      <c r="E30" s="12" t="s">
        <v>692</v>
      </c>
      <c r="F30" s="12" t="s">
        <v>692</v>
      </c>
      <c r="G30" s="12" t="s">
        <v>692</v>
      </c>
    </row>
    <row r="31" spans="1:7" ht="13.5" thickBot="1">
      <c r="A31" s="12" t="s">
        <v>692</v>
      </c>
      <c r="B31" s="12" t="s">
        <v>692</v>
      </c>
      <c r="C31" s="12" t="s">
        <v>692</v>
      </c>
      <c r="D31" s="12" t="s">
        <v>692</v>
      </c>
      <c r="E31" s="12" t="s">
        <v>692</v>
      </c>
      <c r="F31" s="12" t="s">
        <v>692</v>
      </c>
      <c r="G31" s="12" t="s">
        <v>692</v>
      </c>
    </row>
    <row r="32" spans="1:7" ht="12.75">
      <c r="A32" s="7"/>
      <c r="B32" s="7"/>
      <c r="C32" s="7"/>
      <c r="D32" s="7"/>
      <c r="E32" s="7"/>
      <c r="F32" s="7"/>
      <c r="G32" s="7"/>
    </row>
    <row r="33" spans="1:7" ht="13.5" thickBot="1">
      <c r="A33" s="7" t="s">
        <v>632</v>
      </c>
      <c r="B33" s="7" t="s">
        <v>633</v>
      </c>
      <c r="C33" s="7" t="s">
        <v>634</v>
      </c>
      <c r="D33" s="7" t="s">
        <v>635</v>
      </c>
      <c r="E33" s="7" t="s">
        <v>636</v>
      </c>
      <c r="F33" s="7" t="s">
        <v>637</v>
      </c>
      <c r="G33" s="7" t="s">
        <v>638</v>
      </c>
    </row>
    <row r="34" spans="1:7" ht="13.5" thickBot="1">
      <c r="A34" s="12" t="str">
        <f>IF(ISBLANK(B4),"",(IF(ISBLANK(VLOOKUP(B4,#REF!,7,FALSE)),"No Data", VLOOKUP(B4,#REF!,7,FALSE))))</f>
        <v/>
      </c>
      <c r="B34" s="12" t="str">
        <f>IF(ISBLANK(B4),"",(IF(ISBLANK(VLOOKUP(B4,#REF!,9,FALSE)),"No Data", VLOOKUP(B4,#REF!,9,FALSE))))</f>
        <v/>
      </c>
      <c r="C34" s="12" t="str">
        <f>IF(ISBLANK(B4),"",(IF(ISBLANK(VLOOKUP(B4,#REF!,11,FALSE)),"No Data", VLOOKUP(B4,#REF!,11,FALSE))))</f>
        <v/>
      </c>
      <c r="D34" s="12" t="str">
        <f>IF(ISBLANK(B4),"",(IF(ISBLANK(VLOOKUP(B4,#REF!,13,FALSE)),"No Data", VLOOKUP(B4,#REF!,13,FALSE))))</f>
        <v/>
      </c>
      <c r="E34" s="12" t="str">
        <f>IF(ISBLANK(B4),"",(IF(ISBLANK(VLOOKUP(B4,#REF!,15,FALSE)),"No Data", VLOOKUP(B4,#REF!,15,FALSE))))</f>
        <v/>
      </c>
      <c r="F34" s="12" t="str">
        <f>IF(ISBLANK(B4),"",(IF(ISBLANK(VLOOKUP(B4,#REF!,17,FALSE)),"No Data", VLOOKUP(B4,#REF!,17,FALSE))))</f>
        <v/>
      </c>
      <c r="G34" s="12" t="str">
        <f>IF(ISBLANK(B4),"",(IF(ISBLANK(VLOOKUP(B4,#REF!,19,FALSE)),"No Data", VLOOKUP(B4,#REF!,19,FALSE))))</f>
        <v/>
      </c>
    </row>
    <row r="35" spans="1:7" ht="13.5" thickBot="1">
      <c r="A35" s="12" t="str">
        <f>IF(ISBLANK(B4),"",(IF(ISBLANK(VLOOKUP(B4,#REF!,8,FALSE)),"No Data", VLOOKUP(B4,#REF!,8,FALSE))))</f>
        <v/>
      </c>
      <c r="B35" s="12" t="str">
        <f>IF(ISBLANK(B4),"",(IF(ISBLANK(VLOOKUP(B4,#REF!,10,FALSE)),"No Data", VLOOKUP(B4,#REF!,10,FALSE))))</f>
        <v/>
      </c>
      <c r="C35" s="12" t="str">
        <f>IF(ISBLANK(B4),"",(IF(ISBLANK(VLOOKUP(B4,#REF!,12,FALSE)),"No Data",VLOOKUP(B4,#REF!,12,FALSE))))</f>
        <v/>
      </c>
      <c r="D35" s="12" t="str">
        <f>IF(ISBLANK(B4),"",(IF(ISBLANK(VLOOKUP(B4,#REF!,14,FALSE)),"No Data", VLOOKUP(B4,#REF!,14,FALSE))))</f>
        <v/>
      </c>
      <c r="E35" s="12" t="str">
        <f>IF(ISBLANK(B4),"",(IF(ISBLANK(VLOOKUP(B4,#REF!,16,FALSE)),"No Data", VLOOKUP(B4,#REF!,16,FALSE))))</f>
        <v/>
      </c>
      <c r="F35" s="12" t="str">
        <f>IF(ISBLANK(B4),"",(IF(ISBLANK(VLOOKUP(B4,#REF!,18,FALSE)),"No Data", VLOOKUP(B4,#REF!,18,FALSE))))</f>
        <v/>
      </c>
      <c r="G35" s="12" t="str">
        <f>IF(ISBLANK(B4),"",(IF(ISBLANK(VLOOKUP(B4,#REF!,20,FALSE)),"No Data", VLOOKUP(B4,#REF!,20,FALSE))))</f>
        <v/>
      </c>
    </row>
    <row r="36" spans="1:7" ht="12.75">
      <c r="A36" s="7"/>
      <c r="B36" s="7"/>
      <c r="C36" s="7"/>
      <c r="D36" s="7"/>
      <c r="E36" s="7"/>
      <c r="F36" s="7"/>
      <c r="G36" s="7"/>
    </row>
    <row r="37" spans="1:7" ht="13.5" thickBot="1">
      <c r="A37" s="7" t="s">
        <v>639</v>
      </c>
      <c r="B37" s="7" t="s">
        <v>640</v>
      </c>
      <c r="C37" s="7" t="s">
        <v>641</v>
      </c>
      <c r="D37" s="7"/>
      <c r="E37" s="7"/>
      <c r="F37" s="7"/>
      <c r="G37" s="7"/>
    </row>
    <row r="38" spans="1:7" ht="13.5" thickBot="1">
      <c r="A38" s="12" t="str">
        <f>IF(ISBLANK(B4),"",(IF(ISBLANK(VLOOKUP(B4,#REF!,21,FALSE)),"No Data", VLOOKUP(B4,#REF!,21,FALSE))))</f>
        <v/>
      </c>
      <c r="B38" s="12" t="str">
        <f>IF(ISBLANK(B4),"",(IF(ISBLANK(VLOOKUP(B4,#REF!,23,FALSE)),"No Data", VLOOKUP(B4,#REF!,23,FALSE))))</f>
        <v/>
      </c>
      <c r="C38" s="12" t="str">
        <f>IF(ISBLANK(B4),"",(IF(ISBLANK(VLOOKUP(B4,#REF!,25,FALSE)),"No Data", VLOOKUP(B4,#REF!,25,FALSE))))</f>
        <v/>
      </c>
      <c r="D38" s="7"/>
      <c r="E38" s="7"/>
      <c r="F38" s="7"/>
      <c r="G38" s="7"/>
    </row>
    <row r="39" spans="1:7" ht="13.5" thickBot="1">
      <c r="A39" s="12" t="str">
        <f>IF(ISBLANK(B4),"",(IF(ISBLANK(VLOOKUP(B4,#REF!,22,FALSE)),"No Data", VLOOKUP(B4,#REF!,22,FALSE))))</f>
        <v/>
      </c>
      <c r="B39" s="12" t="str">
        <f>IF(ISBLANK(B4),"",(IF(ISBLANK(VLOOKUP(B4,#REF!,24,FALSE)),"No Data", VLOOKUP(B4,#REF!,24,FALSE))))</f>
        <v/>
      </c>
      <c r="C39" s="12" t="str">
        <f>IF(ISBLANK(B4),"",(IF(ISBLANK(VLOOKUP(B4,#REF!,26,FALSE)),"No Data", VLOOKUP(B4,#REF!,26,FALSE))))</f>
        <v/>
      </c>
      <c r="D39" s="7"/>
      <c r="E39" s="7"/>
      <c r="F39" s="7"/>
      <c r="G39" s="7"/>
    </row>
    <row r="40" spans="1:7" ht="12.75"/>
    <row r="41" spans="1:7" ht="12.75" customHeight="1"/>
    <row r="42" spans="1:7" ht="12.75" customHeight="1"/>
  </sheetData>
  <sheetProtection selectLockedCells="1"/>
  <mergeCells count="4">
    <mergeCell ref="C6:D6"/>
    <mergeCell ref="E6:G6"/>
    <mergeCell ref="C4:D4"/>
    <mergeCell ref="E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:G256"/>
  <sheetViews>
    <sheetView workbookViewId="0">
      <selection sqref="A1:A1048576"/>
    </sheetView>
  </sheetViews>
  <sheetFormatPr defaultRowHeight="12.75"/>
  <cols>
    <col min="1" max="1" width="7.7109375" bestFit="1" customWidth="1"/>
    <col min="2" max="2" width="29.85546875" bestFit="1" customWidth="1"/>
    <col min="3" max="3" width="37.28515625" bestFit="1" customWidth="1"/>
    <col min="4" max="4" width="8.28515625" bestFit="1" customWidth="1"/>
    <col min="5" max="5" width="9.42578125" bestFit="1" customWidth="1"/>
    <col min="6" max="6" width="19.5703125" bestFit="1" customWidth="1"/>
    <col min="7" max="7" width="13.28515625" bestFit="1" customWidth="1"/>
  </cols>
  <sheetData>
    <row r="1" spans="1:7">
      <c r="A1" s="1" t="s">
        <v>0</v>
      </c>
      <c r="B1" s="1" t="s">
        <v>1</v>
      </c>
      <c r="C1" s="1" t="s">
        <v>3</v>
      </c>
      <c r="D1" s="1" t="s">
        <v>2</v>
      </c>
      <c r="E1" s="1" t="s">
        <v>4</v>
      </c>
      <c r="F1" s="2" t="s">
        <v>702</v>
      </c>
      <c r="G1" s="2" t="s">
        <v>685</v>
      </c>
    </row>
    <row r="2" spans="1:7">
      <c r="A2" s="1" t="s">
        <v>101</v>
      </c>
      <c r="B2" s="1" t="s">
        <v>102</v>
      </c>
      <c r="C2" s="1" t="s">
        <v>104</v>
      </c>
      <c r="D2" s="1" t="s">
        <v>103</v>
      </c>
      <c r="E2" s="1" t="s">
        <v>105</v>
      </c>
      <c r="F2" s="2" t="s">
        <v>706</v>
      </c>
      <c r="G2" s="2" t="s">
        <v>701</v>
      </c>
    </row>
    <row r="3" spans="1:7">
      <c r="A3" s="1" t="s">
        <v>106</v>
      </c>
      <c r="B3" s="1" t="s">
        <v>107</v>
      </c>
      <c r="C3" s="1" t="s">
        <v>104</v>
      </c>
      <c r="D3" s="1" t="s">
        <v>103</v>
      </c>
      <c r="E3" s="1" t="s">
        <v>108</v>
      </c>
      <c r="F3" s="2" t="s">
        <v>703</v>
      </c>
      <c r="G3" s="2" t="s">
        <v>694</v>
      </c>
    </row>
    <row r="4" spans="1:7">
      <c r="A4" s="1" t="s">
        <v>15</v>
      </c>
      <c r="B4" s="1" t="s">
        <v>16</v>
      </c>
      <c r="C4" s="1" t="s">
        <v>18</v>
      </c>
      <c r="D4" s="1" t="s">
        <v>17</v>
      </c>
      <c r="E4" s="1" t="s">
        <v>19</v>
      </c>
      <c r="F4" s="2" t="s">
        <v>704</v>
      </c>
      <c r="G4" s="2" t="s">
        <v>699</v>
      </c>
    </row>
    <row r="5" spans="1:7">
      <c r="A5" s="1" t="s">
        <v>217</v>
      </c>
      <c r="B5" s="1" t="s">
        <v>218</v>
      </c>
      <c r="C5" s="1" t="s">
        <v>220</v>
      </c>
      <c r="D5" s="1" t="s">
        <v>219</v>
      </c>
      <c r="E5" s="1" t="s">
        <v>221</v>
      </c>
      <c r="F5" s="2" t="s">
        <v>705</v>
      </c>
    </row>
    <row r="6" spans="1:7">
      <c r="A6" s="1" t="s">
        <v>222</v>
      </c>
      <c r="B6" s="1" t="s">
        <v>223</v>
      </c>
      <c r="C6" s="1" t="s">
        <v>220</v>
      </c>
      <c r="D6" s="1" t="s">
        <v>219</v>
      </c>
      <c r="E6" s="1" t="s">
        <v>224</v>
      </c>
      <c r="F6" s="2" t="s">
        <v>708</v>
      </c>
    </row>
    <row r="7" spans="1:7">
      <c r="A7" s="1" t="s">
        <v>360</v>
      </c>
      <c r="B7" s="1" t="s">
        <v>361</v>
      </c>
      <c r="C7" s="1" t="s">
        <v>363</v>
      </c>
      <c r="D7" s="1" t="s">
        <v>362</v>
      </c>
      <c r="E7" s="1" t="s">
        <v>114</v>
      </c>
      <c r="F7" s="2" t="s">
        <v>685</v>
      </c>
    </row>
    <row r="8" spans="1:7">
      <c r="A8" s="1" t="s">
        <v>364</v>
      </c>
      <c r="B8" s="1" t="s">
        <v>365</v>
      </c>
      <c r="C8" s="1" t="s">
        <v>363</v>
      </c>
      <c r="D8" s="1" t="s">
        <v>362</v>
      </c>
      <c r="E8" s="1" t="s">
        <v>366</v>
      </c>
      <c r="F8" s="2"/>
    </row>
    <row r="9" spans="1:7">
      <c r="A9" s="1" t="s">
        <v>20</v>
      </c>
      <c r="B9" s="1" t="s">
        <v>21</v>
      </c>
      <c r="C9" s="1" t="s">
        <v>18</v>
      </c>
      <c r="D9" s="1" t="s">
        <v>17</v>
      </c>
      <c r="E9" s="1" t="s">
        <v>19</v>
      </c>
      <c r="F9" s="2"/>
    </row>
    <row r="10" spans="1:7">
      <c r="A10" s="1" t="s">
        <v>591</v>
      </c>
      <c r="B10" s="1" t="s">
        <v>592</v>
      </c>
      <c r="C10" s="1" t="s">
        <v>594</v>
      </c>
      <c r="D10" s="1" t="s">
        <v>593</v>
      </c>
      <c r="E10" s="1" t="s">
        <v>595</v>
      </c>
    </row>
    <row r="11" spans="1:7">
      <c r="A11" s="1" t="s">
        <v>596</v>
      </c>
      <c r="B11" s="1" t="s">
        <v>597</v>
      </c>
      <c r="C11" s="1" t="s">
        <v>594</v>
      </c>
      <c r="D11" s="1" t="s">
        <v>593</v>
      </c>
      <c r="E11" s="1" t="s">
        <v>598</v>
      </c>
    </row>
    <row r="12" spans="1:7">
      <c r="A12" s="1" t="s">
        <v>490</v>
      </c>
      <c r="B12" s="1" t="s">
        <v>491</v>
      </c>
      <c r="C12" s="1" t="s">
        <v>493</v>
      </c>
      <c r="D12" s="1" t="s">
        <v>492</v>
      </c>
      <c r="E12" s="1" t="s">
        <v>494</v>
      </c>
    </row>
    <row r="13" spans="1:7">
      <c r="A13" s="1" t="s">
        <v>495</v>
      </c>
      <c r="B13" s="1" t="s">
        <v>496</v>
      </c>
      <c r="C13" s="1" t="s">
        <v>493</v>
      </c>
      <c r="D13" s="1" t="s">
        <v>492</v>
      </c>
      <c r="E13" s="1" t="s">
        <v>497</v>
      </c>
    </row>
    <row r="14" spans="1:7">
      <c r="A14" s="1" t="s">
        <v>498</v>
      </c>
      <c r="B14" s="1" t="s">
        <v>499</v>
      </c>
      <c r="C14" s="1" t="s">
        <v>493</v>
      </c>
      <c r="D14" s="1" t="s">
        <v>492</v>
      </c>
      <c r="E14" s="1" t="s">
        <v>500</v>
      </c>
    </row>
    <row r="15" spans="1:7">
      <c r="A15" s="1" t="s">
        <v>22</v>
      </c>
      <c r="B15" s="1" t="s">
        <v>23</v>
      </c>
      <c r="C15" s="1" t="s">
        <v>18</v>
      </c>
      <c r="D15" s="1" t="s">
        <v>17</v>
      </c>
      <c r="E15" s="1" t="s">
        <v>24</v>
      </c>
    </row>
    <row r="16" spans="1:7">
      <c r="A16" s="1" t="s">
        <v>10</v>
      </c>
      <c r="B16" s="1" t="s">
        <v>11</v>
      </c>
      <c r="C16" s="1" t="s">
        <v>13</v>
      </c>
      <c r="D16" s="1" t="s">
        <v>12</v>
      </c>
      <c r="E16" s="1" t="s">
        <v>14</v>
      </c>
    </row>
    <row r="17" spans="1:5">
      <c r="A17" s="1" t="s">
        <v>367</v>
      </c>
      <c r="B17" s="1" t="s">
        <v>368</v>
      </c>
      <c r="C17" s="1" t="s">
        <v>363</v>
      </c>
      <c r="D17" s="1" t="s">
        <v>362</v>
      </c>
      <c r="E17" s="1" t="s">
        <v>4</v>
      </c>
    </row>
    <row r="18" spans="1:5">
      <c r="A18" s="1" t="s">
        <v>25</v>
      </c>
      <c r="B18" s="1" t="s">
        <v>26</v>
      </c>
      <c r="C18" s="1" t="s">
        <v>18</v>
      </c>
      <c r="D18" s="1" t="s">
        <v>17</v>
      </c>
      <c r="E18" s="1" t="s">
        <v>27</v>
      </c>
    </row>
    <row r="19" spans="1:5">
      <c r="A19" s="1" t="s">
        <v>501</v>
      </c>
      <c r="B19" s="1" t="s">
        <v>502</v>
      </c>
      <c r="C19" s="1" t="s">
        <v>493</v>
      </c>
      <c r="D19" s="1" t="s">
        <v>492</v>
      </c>
      <c r="E19" s="1" t="s">
        <v>503</v>
      </c>
    </row>
    <row r="20" spans="1:5">
      <c r="A20" s="1" t="s">
        <v>28</v>
      </c>
      <c r="B20" s="1" t="s">
        <v>29</v>
      </c>
      <c r="C20" s="1" t="s">
        <v>18</v>
      </c>
      <c r="D20" s="1" t="s">
        <v>17</v>
      </c>
      <c r="E20" s="1" t="s">
        <v>24</v>
      </c>
    </row>
    <row r="21" spans="1:5">
      <c r="A21" s="1" t="s">
        <v>30</v>
      </c>
      <c r="B21" s="1" t="s">
        <v>31</v>
      </c>
      <c r="C21" s="1" t="s">
        <v>18</v>
      </c>
      <c r="D21" s="1" t="s">
        <v>17</v>
      </c>
      <c r="E21" s="1" t="s">
        <v>24</v>
      </c>
    </row>
    <row r="22" spans="1:5">
      <c r="A22" s="1" t="s">
        <v>225</v>
      </c>
      <c r="B22" s="1" t="s">
        <v>226</v>
      </c>
      <c r="C22" s="1" t="s">
        <v>220</v>
      </c>
      <c r="D22" s="1" t="s">
        <v>219</v>
      </c>
      <c r="E22" s="1" t="s">
        <v>227</v>
      </c>
    </row>
    <row r="23" spans="1:5">
      <c r="A23" s="1" t="s">
        <v>369</v>
      </c>
      <c r="B23" s="1" t="s">
        <v>370</v>
      </c>
      <c r="C23" s="1" t="s">
        <v>363</v>
      </c>
      <c r="D23" s="1" t="s">
        <v>362</v>
      </c>
      <c r="E23" s="1" t="s">
        <v>371</v>
      </c>
    </row>
    <row r="24" spans="1:5">
      <c r="A24" s="1" t="s">
        <v>604</v>
      </c>
      <c r="B24" s="1" t="s">
        <v>605</v>
      </c>
      <c r="C24" s="1" t="s">
        <v>607</v>
      </c>
      <c r="D24" s="1" t="s">
        <v>606</v>
      </c>
      <c r="E24" s="1" t="s">
        <v>122</v>
      </c>
    </row>
    <row r="25" spans="1:5">
      <c r="A25" s="1" t="s">
        <v>228</v>
      </c>
      <c r="B25" s="1" t="s">
        <v>229</v>
      </c>
      <c r="C25" s="1" t="s">
        <v>220</v>
      </c>
      <c r="D25" s="1" t="s">
        <v>219</v>
      </c>
      <c r="E25" s="1" t="s">
        <v>230</v>
      </c>
    </row>
    <row r="26" spans="1:5">
      <c r="A26" s="1" t="s">
        <v>109</v>
      </c>
      <c r="B26" s="1" t="s">
        <v>110</v>
      </c>
      <c r="C26" s="1" t="s">
        <v>104</v>
      </c>
      <c r="D26" s="1" t="s">
        <v>103</v>
      </c>
      <c r="E26" s="1" t="s">
        <v>111</v>
      </c>
    </row>
    <row r="27" spans="1:5">
      <c r="A27" s="1" t="s">
        <v>231</v>
      </c>
      <c r="B27" s="1" t="s">
        <v>232</v>
      </c>
      <c r="C27" s="1" t="s">
        <v>220</v>
      </c>
      <c r="D27" s="1" t="s">
        <v>219</v>
      </c>
      <c r="E27" s="1" t="s">
        <v>233</v>
      </c>
    </row>
    <row r="28" spans="1:5">
      <c r="A28" s="1" t="s">
        <v>234</v>
      </c>
      <c r="B28" s="1" t="s">
        <v>235</v>
      </c>
      <c r="C28" s="1" t="s">
        <v>220</v>
      </c>
      <c r="D28" s="1" t="s">
        <v>219</v>
      </c>
      <c r="E28" s="1" t="s">
        <v>233</v>
      </c>
    </row>
    <row r="29" spans="1:5">
      <c r="A29" s="1" t="s">
        <v>236</v>
      </c>
      <c r="B29" s="1" t="s">
        <v>237</v>
      </c>
      <c r="C29" s="1" t="s">
        <v>220</v>
      </c>
      <c r="D29" s="1" t="s">
        <v>219</v>
      </c>
      <c r="E29" s="1" t="s">
        <v>233</v>
      </c>
    </row>
    <row r="30" spans="1:5">
      <c r="A30" s="1" t="s">
        <v>112</v>
      </c>
      <c r="B30" s="1" t="s">
        <v>113</v>
      </c>
      <c r="C30" s="1" t="s">
        <v>104</v>
      </c>
      <c r="D30" s="1" t="s">
        <v>103</v>
      </c>
      <c r="E30" s="1" t="s">
        <v>114</v>
      </c>
    </row>
    <row r="31" spans="1:5">
      <c r="A31" s="1" t="s">
        <v>115</v>
      </c>
      <c r="B31" s="1" t="s">
        <v>116</v>
      </c>
      <c r="C31" s="1" t="s">
        <v>104</v>
      </c>
      <c r="D31" s="1" t="s">
        <v>103</v>
      </c>
      <c r="E31" s="1" t="s">
        <v>117</v>
      </c>
    </row>
    <row r="32" spans="1:5">
      <c r="A32" s="1" t="s">
        <v>118</v>
      </c>
      <c r="B32" s="1" t="s">
        <v>119</v>
      </c>
      <c r="C32" s="1" t="s">
        <v>104</v>
      </c>
      <c r="D32" s="1" t="s">
        <v>103</v>
      </c>
      <c r="E32" s="1" t="s">
        <v>117</v>
      </c>
    </row>
    <row r="33" spans="1:5">
      <c r="A33" s="1" t="s">
        <v>120</v>
      </c>
      <c r="B33" s="1" t="s">
        <v>121</v>
      </c>
      <c r="C33" s="1" t="s">
        <v>104</v>
      </c>
      <c r="D33" s="1" t="s">
        <v>103</v>
      </c>
      <c r="E33" s="1" t="s">
        <v>122</v>
      </c>
    </row>
    <row r="34" spans="1:5">
      <c r="A34" s="1" t="s">
        <v>372</v>
      </c>
      <c r="B34" s="1" t="s">
        <v>373</v>
      </c>
      <c r="C34" s="1" t="s">
        <v>363</v>
      </c>
      <c r="D34" s="1" t="s">
        <v>362</v>
      </c>
      <c r="E34" s="1" t="s">
        <v>374</v>
      </c>
    </row>
    <row r="35" spans="1:5">
      <c r="A35" s="1" t="s">
        <v>123</v>
      </c>
      <c r="B35" s="1" t="s">
        <v>124</v>
      </c>
      <c r="C35" s="1" t="s">
        <v>104</v>
      </c>
      <c r="D35" s="1" t="s">
        <v>103</v>
      </c>
      <c r="E35" s="1" t="s">
        <v>117</v>
      </c>
    </row>
    <row r="36" spans="1:5">
      <c r="A36" s="1" t="s">
        <v>125</v>
      </c>
      <c r="B36" s="1" t="s">
        <v>126</v>
      </c>
      <c r="C36" s="1" t="s">
        <v>104</v>
      </c>
      <c r="D36" s="1" t="s">
        <v>103</v>
      </c>
      <c r="E36" s="1" t="s">
        <v>108</v>
      </c>
    </row>
    <row r="37" spans="1:5">
      <c r="A37" s="1" t="s">
        <v>127</v>
      </c>
      <c r="B37" s="1" t="s">
        <v>128</v>
      </c>
      <c r="C37" s="1" t="s">
        <v>104</v>
      </c>
      <c r="D37" s="1" t="s">
        <v>103</v>
      </c>
      <c r="E37" s="1" t="s">
        <v>129</v>
      </c>
    </row>
    <row r="38" spans="1:5">
      <c r="A38" s="1" t="s">
        <v>130</v>
      </c>
      <c r="B38" s="1" t="s">
        <v>131</v>
      </c>
      <c r="C38" s="1" t="s">
        <v>104</v>
      </c>
      <c r="D38" s="1" t="s">
        <v>103</v>
      </c>
      <c r="E38" s="1" t="s">
        <v>108</v>
      </c>
    </row>
    <row r="39" spans="1:5">
      <c r="A39" s="1" t="s">
        <v>132</v>
      </c>
      <c r="B39" s="1" t="s">
        <v>133</v>
      </c>
      <c r="C39" s="1" t="s">
        <v>104</v>
      </c>
      <c r="D39" s="1" t="s">
        <v>103</v>
      </c>
      <c r="E39" s="1" t="s">
        <v>134</v>
      </c>
    </row>
    <row r="40" spans="1:5">
      <c r="A40" s="1" t="s">
        <v>135</v>
      </c>
      <c r="B40" s="1" t="s">
        <v>136</v>
      </c>
      <c r="C40" s="1" t="s">
        <v>104</v>
      </c>
      <c r="D40" s="1" t="s">
        <v>103</v>
      </c>
      <c r="E40" s="1" t="s">
        <v>137</v>
      </c>
    </row>
    <row r="41" spans="1:5">
      <c r="A41" s="1" t="s">
        <v>238</v>
      </c>
      <c r="B41" s="1" t="s">
        <v>239</v>
      </c>
      <c r="C41" s="1" t="s">
        <v>220</v>
      </c>
      <c r="D41" s="1" t="s">
        <v>219</v>
      </c>
      <c r="E41" s="1" t="s">
        <v>240</v>
      </c>
    </row>
    <row r="42" spans="1:5">
      <c r="A42" s="1" t="s">
        <v>339</v>
      </c>
      <c r="B42" s="1" t="s">
        <v>340</v>
      </c>
      <c r="C42" s="1" t="s">
        <v>342</v>
      </c>
      <c r="D42" s="1" t="s">
        <v>341</v>
      </c>
      <c r="E42" s="1" t="s">
        <v>343</v>
      </c>
    </row>
    <row r="43" spans="1:5">
      <c r="A43" s="1" t="s">
        <v>348</v>
      </c>
      <c r="B43" s="1" t="s">
        <v>349</v>
      </c>
      <c r="C43" s="1" t="s">
        <v>351</v>
      </c>
      <c r="D43" s="1" t="s">
        <v>350</v>
      </c>
      <c r="E43" s="1" t="s">
        <v>140</v>
      </c>
    </row>
    <row r="44" spans="1:5">
      <c r="A44" s="1" t="s">
        <v>537</v>
      </c>
      <c r="B44" s="1" t="s">
        <v>538</v>
      </c>
      <c r="C44" s="1" t="s">
        <v>540</v>
      </c>
      <c r="D44" s="1" t="s">
        <v>539</v>
      </c>
      <c r="E44" s="1" t="s">
        <v>82</v>
      </c>
    </row>
    <row r="45" spans="1:5">
      <c r="A45" s="1" t="s">
        <v>241</v>
      </c>
      <c r="B45" s="1" t="s">
        <v>242</v>
      </c>
      <c r="C45" s="1" t="s">
        <v>220</v>
      </c>
      <c r="D45" s="1" t="s">
        <v>219</v>
      </c>
      <c r="E45" s="1" t="s">
        <v>122</v>
      </c>
    </row>
    <row r="46" spans="1:5">
      <c r="A46" s="1" t="s">
        <v>541</v>
      </c>
      <c r="B46" s="1" t="s">
        <v>542</v>
      </c>
      <c r="C46" s="1" t="s">
        <v>540</v>
      </c>
      <c r="D46" s="1" t="s">
        <v>539</v>
      </c>
      <c r="E46" s="1" t="s">
        <v>543</v>
      </c>
    </row>
    <row r="47" spans="1:5">
      <c r="A47" s="1" t="s">
        <v>5</v>
      </c>
      <c r="B47" s="1" t="s">
        <v>6</v>
      </c>
      <c r="C47" s="1" t="s">
        <v>3</v>
      </c>
      <c r="D47" s="1" t="s">
        <v>2</v>
      </c>
      <c r="E47" s="1" t="s">
        <v>7</v>
      </c>
    </row>
    <row r="48" spans="1:5">
      <c r="A48" s="1" t="s">
        <v>375</v>
      </c>
      <c r="B48" s="1" t="s">
        <v>376</v>
      </c>
      <c r="C48" s="1" t="s">
        <v>363</v>
      </c>
      <c r="D48" s="1" t="s">
        <v>362</v>
      </c>
      <c r="E48" s="1" t="s">
        <v>7</v>
      </c>
    </row>
    <row r="49" spans="1:5">
      <c r="A49" s="1" t="s">
        <v>377</v>
      </c>
      <c r="B49" s="1" t="s">
        <v>378</v>
      </c>
      <c r="C49" s="1" t="s">
        <v>363</v>
      </c>
      <c r="D49" s="1" t="s">
        <v>362</v>
      </c>
      <c r="E49" s="1" t="s">
        <v>379</v>
      </c>
    </row>
    <row r="50" spans="1:5">
      <c r="A50" s="1" t="s">
        <v>138</v>
      </c>
      <c r="B50" s="1" t="s">
        <v>139</v>
      </c>
      <c r="C50" s="1" t="s">
        <v>104</v>
      </c>
      <c r="D50" s="1" t="s">
        <v>103</v>
      </c>
      <c r="E50" s="1" t="s">
        <v>140</v>
      </c>
    </row>
    <row r="51" spans="1:5">
      <c r="A51" s="1" t="s">
        <v>243</v>
      </c>
      <c r="B51" s="1" t="s">
        <v>244</v>
      </c>
      <c r="C51" s="1" t="s">
        <v>220</v>
      </c>
      <c r="D51" s="1" t="s">
        <v>219</v>
      </c>
      <c r="E51" s="1" t="s">
        <v>245</v>
      </c>
    </row>
    <row r="52" spans="1:5">
      <c r="A52" s="1" t="s">
        <v>246</v>
      </c>
      <c r="B52" s="1" t="s">
        <v>247</v>
      </c>
      <c r="C52" s="1" t="s">
        <v>220</v>
      </c>
      <c r="D52" s="1" t="s">
        <v>219</v>
      </c>
      <c r="E52" s="1" t="s">
        <v>245</v>
      </c>
    </row>
    <row r="53" spans="1:5">
      <c r="A53" s="1" t="s">
        <v>32</v>
      </c>
      <c r="B53" s="1" t="s">
        <v>33</v>
      </c>
      <c r="C53" s="1" t="s">
        <v>18</v>
      </c>
      <c r="D53" s="1" t="s">
        <v>17</v>
      </c>
      <c r="E53" s="1" t="s">
        <v>34</v>
      </c>
    </row>
    <row r="54" spans="1:5">
      <c r="A54" s="1" t="s">
        <v>35</v>
      </c>
      <c r="B54" s="1" t="s">
        <v>36</v>
      </c>
      <c r="C54" s="1" t="s">
        <v>18</v>
      </c>
      <c r="D54" s="1" t="s">
        <v>17</v>
      </c>
      <c r="E54" s="1" t="s">
        <v>27</v>
      </c>
    </row>
    <row r="55" spans="1:5">
      <c r="A55" s="1" t="s">
        <v>248</v>
      </c>
      <c r="B55" s="1" t="s">
        <v>249</v>
      </c>
      <c r="C55" s="1" t="s">
        <v>220</v>
      </c>
      <c r="D55" s="1" t="s">
        <v>219</v>
      </c>
      <c r="E55" s="1" t="s">
        <v>53</v>
      </c>
    </row>
    <row r="56" spans="1:5">
      <c r="A56" s="1" t="s">
        <v>37</v>
      </c>
      <c r="B56" s="1" t="s">
        <v>38</v>
      </c>
      <c r="C56" s="1" t="s">
        <v>18</v>
      </c>
      <c r="D56" s="1" t="s">
        <v>17</v>
      </c>
      <c r="E56" s="1" t="s">
        <v>39</v>
      </c>
    </row>
    <row r="57" spans="1:5">
      <c r="A57" s="1" t="s">
        <v>544</v>
      </c>
      <c r="B57" s="1" t="s">
        <v>545</v>
      </c>
      <c r="C57" s="1" t="s">
        <v>540</v>
      </c>
      <c r="D57" s="1" t="s">
        <v>539</v>
      </c>
      <c r="E57" s="1" t="s">
        <v>82</v>
      </c>
    </row>
    <row r="58" spans="1:5">
      <c r="A58" s="1" t="s">
        <v>380</v>
      </c>
      <c r="B58" s="1" t="s">
        <v>381</v>
      </c>
      <c r="C58" s="1" t="s">
        <v>363</v>
      </c>
      <c r="D58" s="1" t="s">
        <v>362</v>
      </c>
      <c r="E58" s="1" t="s">
        <v>382</v>
      </c>
    </row>
    <row r="59" spans="1:5">
      <c r="A59" s="1" t="s">
        <v>141</v>
      </c>
      <c r="B59" s="1" t="s">
        <v>142</v>
      </c>
      <c r="C59" s="1" t="s">
        <v>104</v>
      </c>
      <c r="D59" s="1" t="s">
        <v>103</v>
      </c>
      <c r="E59" s="1" t="s">
        <v>111</v>
      </c>
    </row>
    <row r="60" spans="1:5">
      <c r="A60" s="1" t="s">
        <v>383</v>
      </c>
      <c r="B60" s="1" t="s">
        <v>384</v>
      </c>
      <c r="C60" s="1" t="s">
        <v>363</v>
      </c>
      <c r="D60" s="1" t="s">
        <v>362</v>
      </c>
      <c r="E60" s="1" t="s">
        <v>385</v>
      </c>
    </row>
    <row r="61" spans="1:5">
      <c r="A61" s="1" t="s">
        <v>250</v>
      </c>
      <c r="B61" s="1" t="s">
        <v>251</v>
      </c>
      <c r="C61" s="1" t="s">
        <v>220</v>
      </c>
      <c r="D61" s="1" t="s">
        <v>219</v>
      </c>
      <c r="E61" s="1" t="s">
        <v>122</v>
      </c>
    </row>
    <row r="62" spans="1:5">
      <c r="A62" s="1" t="s">
        <v>252</v>
      </c>
      <c r="B62" s="1" t="s">
        <v>253</v>
      </c>
      <c r="C62" s="1" t="s">
        <v>220</v>
      </c>
      <c r="D62" s="1" t="s">
        <v>219</v>
      </c>
      <c r="E62" s="1" t="s">
        <v>230</v>
      </c>
    </row>
    <row r="63" spans="1:5">
      <c r="A63" s="1" t="s">
        <v>254</v>
      </c>
      <c r="B63" s="1" t="s">
        <v>255</v>
      </c>
      <c r="C63" s="1" t="s">
        <v>220</v>
      </c>
      <c r="D63" s="1" t="s">
        <v>219</v>
      </c>
      <c r="E63" s="1" t="s">
        <v>256</v>
      </c>
    </row>
    <row r="64" spans="1:5">
      <c r="A64" s="1" t="s">
        <v>344</v>
      </c>
      <c r="B64" s="1" t="s">
        <v>345</v>
      </c>
      <c r="C64" s="1" t="s">
        <v>342</v>
      </c>
      <c r="D64" s="1" t="s">
        <v>341</v>
      </c>
      <c r="E64" s="1" t="s">
        <v>343</v>
      </c>
    </row>
    <row r="65" spans="1:5">
      <c r="A65" s="1" t="s">
        <v>546</v>
      </c>
      <c r="B65" s="1" t="s">
        <v>547</v>
      </c>
      <c r="C65" s="1" t="s">
        <v>540</v>
      </c>
      <c r="D65" s="1" t="s">
        <v>539</v>
      </c>
      <c r="E65" s="1" t="s">
        <v>233</v>
      </c>
    </row>
    <row r="66" spans="1:5">
      <c r="A66" s="1" t="s">
        <v>548</v>
      </c>
      <c r="B66" s="1" t="s">
        <v>549</v>
      </c>
      <c r="C66" s="1" t="s">
        <v>540</v>
      </c>
      <c r="D66" s="1" t="s">
        <v>539</v>
      </c>
      <c r="E66" s="1" t="s">
        <v>233</v>
      </c>
    </row>
    <row r="67" spans="1:5">
      <c r="A67" s="1" t="s">
        <v>467</v>
      </c>
      <c r="B67" s="1" t="s">
        <v>468</v>
      </c>
      <c r="C67" s="1" t="s">
        <v>470</v>
      </c>
      <c r="D67" s="1" t="s">
        <v>469</v>
      </c>
      <c r="E67" s="1" t="s">
        <v>471</v>
      </c>
    </row>
    <row r="68" spans="1:5">
      <c r="A68" s="1" t="s">
        <v>40</v>
      </c>
      <c r="B68" s="1" t="s">
        <v>41</v>
      </c>
      <c r="C68" s="1" t="s">
        <v>18</v>
      </c>
      <c r="D68" s="1" t="s">
        <v>17</v>
      </c>
      <c r="E68" s="1" t="s">
        <v>34</v>
      </c>
    </row>
    <row r="69" spans="1:5">
      <c r="A69" s="1" t="s">
        <v>352</v>
      </c>
      <c r="B69" s="1" t="s">
        <v>353</v>
      </c>
      <c r="C69" s="1" t="s">
        <v>351</v>
      </c>
      <c r="D69" s="1" t="s">
        <v>350</v>
      </c>
      <c r="E69" s="1" t="s">
        <v>140</v>
      </c>
    </row>
    <row r="70" spans="1:5">
      <c r="A70" s="1" t="s">
        <v>143</v>
      </c>
      <c r="B70" s="1" t="s">
        <v>144</v>
      </c>
      <c r="C70" s="1" t="s">
        <v>104</v>
      </c>
      <c r="D70" s="1" t="s">
        <v>103</v>
      </c>
      <c r="E70" s="1" t="s">
        <v>140</v>
      </c>
    </row>
    <row r="71" spans="1:5">
      <c r="A71" s="1" t="s">
        <v>354</v>
      </c>
      <c r="B71" s="1" t="s">
        <v>355</v>
      </c>
      <c r="C71" s="1" t="s">
        <v>351</v>
      </c>
      <c r="D71" s="1" t="s">
        <v>350</v>
      </c>
      <c r="E71" s="1" t="s">
        <v>140</v>
      </c>
    </row>
    <row r="72" spans="1:5">
      <c r="A72" s="1" t="s">
        <v>42</v>
      </c>
      <c r="B72" s="1" t="s">
        <v>43</v>
      </c>
      <c r="C72" s="1" t="s">
        <v>18</v>
      </c>
      <c r="D72" s="1" t="s">
        <v>17</v>
      </c>
      <c r="E72" s="1" t="s">
        <v>34</v>
      </c>
    </row>
    <row r="73" spans="1:5">
      <c r="A73" s="1" t="s">
        <v>44</v>
      </c>
      <c r="B73" s="1" t="s">
        <v>45</v>
      </c>
      <c r="C73" s="1" t="s">
        <v>18</v>
      </c>
      <c r="D73" s="1" t="s">
        <v>17</v>
      </c>
      <c r="E73" s="1" t="s">
        <v>39</v>
      </c>
    </row>
    <row r="74" spans="1:5">
      <c r="A74" s="1" t="s">
        <v>145</v>
      </c>
      <c r="B74" s="1" t="s">
        <v>146</v>
      </c>
      <c r="C74" s="1" t="s">
        <v>104</v>
      </c>
      <c r="D74" s="1" t="s">
        <v>103</v>
      </c>
      <c r="E74" s="1" t="s">
        <v>147</v>
      </c>
    </row>
    <row r="75" spans="1:5">
      <c r="A75" s="1" t="s">
        <v>257</v>
      </c>
      <c r="B75" s="1" t="s">
        <v>258</v>
      </c>
      <c r="C75" s="1" t="s">
        <v>220</v>
      </c>
      <c r="D75" s="1" t="s">
        <v>219</v>
      </c>
      <c r="E75" s="1" t="s">
        <v>233</v>
      </c>
    </row>
    <row r="76" spans="1:5">
      <c r="A76" s="1" t="s">
        <v>504</v>
      </c>
      <c r="B76" s="1" t="s">
        <v>505</v>
      </c>
      <c r="C76" s="1" t="s">
        <v>493</v>
      </c>
      <c r="D76" s="1" t="s">
        <v>492</v>
      </c>
      <c r="E76" s="1" t="s">
        <v>503</v>
      </c>
    </row>
    <row r="77" spans="1:5">
      <c r="A77" s="1" t="s">
        <v>550</v>
      </c>
      <c r="B77" s="1" t="s">
        <v>551</v>
      </c>
      <c r="C77" s="1" t="s">
        <v>540</v>
      </c>
      <c r="D77" s="1" t="s">
        <v>539</v>
      </c>
      <c r="E77" s="1" t="s">
        <v>53</v>
      </c>
    </row>
    <row r="78" spans="1:5">
      <c r="A78" s="1" t="s">
        <v>386</v>
      </c>
      <c r="B78" s="1" t="s">
        <v>387</v>
      </c>
      <c r="C78" s="1" t="s">
        <v>363</v>
      </c>
      <c r="D78" s="1" t="s">
        <v>362</v>
      </c>
      <c r="E78" s="1" t="s">
        <v>388</v>
      </c>
    </row>
    <row r="79" spans="1:5">
      <c r="A79" s="1" t="s">
        <v>552</v>
      </c>
      <c r="B79" s="1" t="s">
        <v>553</v>
      </c>
      <c r="C79" s="1" t="s">
        <v>540</v>
      </c>
      <c r="D79" s="1" t="s">
        <v>539</v>
      </c>
      <c r="E79" s="1" t="s">
        <v>543</v>
      </c>
    </row>
    <row r="80" spans="1:5">
      <c r="A80" s="1" t="s">
        <v>148</v>
      </c>
      <c r="B80" s="1" t="s">
        <v>149</v>
      </c>
      <c r="C80" s="1" t="s">
        <v>104</v>
      </c>
      <c r="D80" s="1" t="s">
        <v>103</v>
      </c>
      <c r="E80" s="1" t="s">
        <v>150</v>
      </c>
    </row>
    <row r="81" spans="1:5">
      <c r="A81" s="1" t="s">
        <v>554</v>
      </c>
      <c r="B81" s="1" t="s">
        <v>555</v>
      </c>
      <c r="C81" s="1" t="s">
        <v>540</v>
      </c>
      <c r="D81" s="1" t="s">
        <v>539</v>
      </c>
      <c r="E81" s="1" t="s">
        <v>233</v>
      </c>
    </row>
    <row r="82" spans="1:5">
      <c r="A82" s="1" t="s">
        <v>599</v>
      </c>
      <c r="B82" s="1" t="s">
        <v>600</v>
      </c>
      <c r="C82" s="1" t="s">
        <v>594</v>
      </c>
      <c r="D82" s="1" t="s">
        <v>593</v>
      </c>
      <c r="E82" s="1" t="s">
        <v>601</v>
      </c>
    </row>
    <row r="83" spans="1:5">
      <c r="A83" s="1" t="s">
        <v>151</v>
      </c>
      <c r="B83" s="1" t="s">
        <v>152</v>
      </c>
      <c r="C83" s="1" t="s">
        <v>104</v>
      </c>
      <c r="D83" s="1" t="s">
        <v>103</v>
      </c>
      <c r="E83" s="1" t="s">
        <v>137</v>
      </c>
    </row>
    <row r="84" spans="1:5">
      <c r="A84" s="1" t="s">
        <v>153</v>
      </c>
      <c r="B84" s="1" t="s">
        <v>154</v>
      </c>
      <c r="C84" s="1" t="s">
        <v>104</v>
      </c>
      <c r="D84" s="1" t="s">
        <v>103</v>
      </c>
      <c r="E84" s="1" t="s">
        <v>155</v>
      </c>
    </row>
    <row r="85" spans="1:5">
      <c r="A85" s="1" t="s">
        <v>259</v>
      </c>
      <c r="B85" s="1" t="s">
        <v>260</v>
      </c>
      <c r="C85" s="1" t="s">
        <v>220</v>
      </c>
      <c r="D85" s="1" t="s">
        <v>219</v>
      </c>
      <c r="E85" s="1" t="s">
        <v>256</v>
      </c>
    </row>
    <row r="86" spans="1:5">
      <c r="A86" s="1" t="s">
        <v>261</v>
      </c>
      <c r="B86" s="1" t="s">
        <v>262</v>
      </c>
      <c r="C86" s="1" t="s">
        <v>220</v>
      </c>
      <c r="D86" s="1" t="s">
        <v>219</v>
      </c>
      <c r="E86" s="1" t="s">
        <v>263</v>
      </c>
    </row>
    <row r="87" spans="1:5">
      <c r="A87" s="1" t="s">
        <v>389</v>
      </c>
      <c r="B87" s="1" t="s">
        <v>390</v>
      </c>
      <c r="C87" s="1" t="s">
        <v>363</v>
      </c>
      <c r="D87" s="1" t="s">
        <v>362</v>
      </c>
      <c r="E87" s="1" t="s">
        <v>391</v>
      </c>
    </row>
    <row r="88" spans="1:5">
      <c r="A88" s="1" t="s">
        <v>392</v>
      </c>
      <c r="B88" s="1" t="s">
        <v>393</v>
      </c>
      <c r="C88" s="1" t="s">
        <v>363</v>
      </c>
      <c r="D88" s="1" t="s">
        <v>362</v>
      </c>
      <c r="E88" s="1" t="s">
        <v>4</v>
      </c>
    </row>
    <row r="89" spans="1:5">
      <c r="A89" s="1" t="s">
        <v>394</v>
      </c>
      <c r="B89" s="1" t="s">
        <v>395</v>
      </c>
      <c r="C89" s="1" t="s">
        <v>363</v>
      </c>
      <c r="D89" s="1" t="s">
        <v>362</v>
      </c>
      <c r="E89" s="1" t="s">
        <v>396</v>
      </c>
    </row>
    <row r="90" spans="1:5">
      <c r="A90" s="1" t="s">
        <v>397</v>
      </c>
      <c r="B90" s="1" t="s">
        <v>398</v>
      </c>
      <c r="C90" s="1" t="s">
        <v>363</v>
      </c>
      <c r="D90" s="1" t="s">
        <v>362</v>
      </c>
      <c r="E90" s="1" t="s">
        <v>4</v>
      </c>
    </row>
    <row r="91" spans="1:5">
      <c r="A91" s="1" t="s">
        <v>399</v>
      </c>
      <c r="B91" s="1" t="s">
        <v>400</v>
      </c>
      <c r="C91" s="1" t="s">
        <v>363</v>
      </c>
      <c r="D91" s="1" t="s">
        <v>362</v>
      </c>
      <c r="E91" s="1" t="s">
        <v>401</v>
      </c>
    </row>
    <row r="92" spans="1:5">
      <c r="A92" s="1" t="s">
        <v>402</v>
      </c>
      <c r="B92" s="1" t="s">
        <v>403</v>
      </c>
      <c r="C92" s="1" t="s">
        <v>363</v>
      </c>
      <c r="D92" s="1" t="s">
        <v>362</v>
      </c>
      <c r="E92" s="1" t="s">
        <v>114</v>
      </c>
    </row>
    <row r="93" spans="1:5">
      <c r="A93" s="1" t="s">
        <v>46</v>
      </c>
      <c r="B93" s="1" t="s">
        <v>47</v>
      </c>
      <c r="C93" s="1" t="s">
        <v>18</v>
      </c>
      <c r="D93" s="1" t="s">
        <v>17</v>
      </c>
      <c r="E93" s="1" t="s">
        <v>48</v>
      </c>
    </row>
    <row r="94" spans="1:5">
      <c r="A94" s="1" t="s">
        <v>49</v>
      </c>
      <c r="B94" s="1" t="s">
        <v>50</v>
      </c>
      <c r="C94" s="1" t="s">
        <v>18</v>
      </c>
      <c r="D94" s="1" t="s">
        <v>17</v>
      </c>
      <c r="E94" s="1" t="s">
        <v>27</v>
      </c>
    </row>
    <row r="95" spans="1:5">
      <c r="A95" s="1" t="s">
        <v>156</v>
      </c>
      <c r="B95" s="1" t="s">
        <v>157</v>
      </c>
      <c r="C95" s="1" t="s">
        <v>104</v>
      </c>
      <c r="D95" s="1" t="s">
        <v>103</v>
      </c>
      <c r="E95" s="1" t="s">
        <v>111</v>
      </c>
    </row>
    <row r="96" spans="1:5">
      <c r="A96" s="1" t="s">
        <v>158</v>
      </c>
      <c r="B96" s="1" t="s">
        <v>159</v>
      </c>
      <c r="C96" s="1" t="s">
        <v>104</v>
      </c>
      <c r="D96" s="1" t="s">
        <v>103</v>
      </c>
      <c r="E96" s="1" t="s">
        <v>137</v>
      </c>
    </row>
    <row r="97" spans="1:5">
      <c r="A97" s="1" t="s">
        <v>160</v>
      </c>
      <c r="B97" s="1" t="s">
        <v>161</v>
      </c>
      <c r="C97" s="1" t="s">
        <v>104</v>
      </c>
      <c r="D97" s="1" t="s">
        <v>103</v>
      </c>
      <c r="E97" s="1" t="s">
        <v>162</v>
      </c>
    </row>
    <row r="98" spans="1:5">
      <c r="A98" s="1" t="s">
        <v>264</v>
      </c>
      <c r="B98" s="1" t="s">
        <v>265</v>
      </c>
      <c r="C98" s="1" t="s">
        <v>220</v>
      </c>
      <c r="D98" s="1" t="s">
        <v>219</v>
      </c>
      <c r="E98" s="1" t="s">
        <v>233</v>
      </c>
    </row>
    <row r="99" spans="1:5">
      <c r="A99" s="1" t="s">
        <v>266</v>
      </c>
      <c r="B99" s="1" t="s">
        <v>267</v>
      </c>
      <c r="C99" s="1" t="s">
        <v>220</v>
      </c>
      <c r="D99" s="1" t="s">
        <v>219</v>
      </c>
      <c r="E99" s="1" t="s">
        <v>221</v>
      </c>
    </row>
    <row r="100" spans="1:5">
      <c r="A100" s="1" t="s">
        <v>268</v>
      </c>
      <c r="B100" s="1" t="s">
        <v>269</v>
      </c>
      <c r="C100" s="1" t="s">
        <v>220</v>
      </c>
      <c r="D100" s="1" t="s">
        <v>219</v>
      </c>
      <c r="E100" s="1" t="s">
        <v>256</v>
      </c>
    </row>
    <row r="101" spans="1:5">
      <c r="A101" s="1" t="s">
        <v>404</v>
      </c>
      <c r="B101" s="1" t="s">
        <v>405</v>
      </c>
      <c r="C101" s="1" t="s">
        <v>363</v>
      </c>
      <c r="D101" s="1" t="s">
        <v>362</v>
      </c>
      <c r="E101" s="1" t="s">
        <v>401</v>
      </c>
    </row>
    <row r="102" spans="1:5">
      <c r="A102" s="1" t="s">
        <v>506</v>
      </c>
      <c r="B102" s="1" t="s">
        <v>507</v>
      </c>
      <c r="C102" s="1" t="s">
        <v>493</v>
      </c>
      <c r="D102" s="1" t="s">
        <v>492</v>
      </c>
      <c r="E102" s="1" t="s">
        <v>508</v>
      </c>
    </row>
    <row r="103" spans="1:5">
      <c r="A103" s="1" t="s">
        <v>163</v>
      </c>
      <c r="B103" s="1" t="s">
        <v>164</v>
      </c>
      <c r="C103" s="1" t="s">
        <v>104</v>
      </c>
      <c r="D103" s="1" t="s">
        <v>103</v>
      </c>
      <c r="E103" s="1" t="s">
        <v>140</v>
      </c>
    </row>
    <row r="104" spans="1:5">
      <c r="A104" s="1" t="s">
        <v>270</v>
      </c>
      <c r="B104" s="1" t="s">
        <v>271</v>
      </c>
      <c r="C104" s="1" t="s">
        <v>220</v>
      </c>
      <c r="D104" s="1" t="s">
        <v>219</v>
      </c>
      <c r="E104" s="1" t="s">
        <v>240</v>
      </c>
    </row>
    <row r="105" spans="1:5">
      <c r="A105" s="1" t="s">
        <v>51</v>
      </c>
      <c r="B105" s="1" t="s">
        <v>52</v>
      </c>
      <c r="C105" s="1" t="s">
        <v>18</v>
      </c>
      <c r="D105" s="1" t="s">
        <v>17</v>
      </c>
      <c r="E105" s="1" t="s">
        <v>53</v>
      </c>
    </row>
    <row r="106" spans="1:5">
      <c r="A106" s="1" t="s">
        <v>54</v>
      </c>
      <c r="B106" s="1" t="s">
        <v>55</v>
      </c>
      <c r="C106" s="1" t="s">
        <v>18</v>
      </c>
      <c r="D106" s="1" t="s">
        <v>17</v>
      </c>
      <c r="E106" s="1" t="s">
        <v>27</v>
      </c>
    </row>
    <row r="107" spans="1:5">
      <c r="A107" s="1" t="s">
        <v>165</v>
      </c>
      <c r="B107" s="1" t="s">
        <v>166</v>
      </c>
      <c r="C107" s="1" t="s">
        <v>104</v>
      </c>
      <c r="D107" s="1" t="s">
        <v>103</v>
      </c>
      <c r="E107" s="1" t="s">
        <v>167</v>
      </c>
    </row>
    <row r="108" spans="1:5">
      <c r="A108" s="1" t="s">
        <v>56</v>
      </c>
      <c r="B108" s="1" t="s">
        <v>57</v>
      </c>
      <c r="C108" s="1" t="s">
        <v>18</v>
      </c>
      <c r="D108" s="1" t="s">
        <v>17</v>
      </c>
      <c r="E108" s="1" t="s">
        <v>39</v>
      </c>
    </row>
    <row r="109" spans="1:5">
      <c r="A109" s="1" t="s">
        <v>272</v>
      </c>
      <c r="B109" s="1" t="s">
        <v>273</v>
      </c>
      <c r="C109" s="1" t="s">
        <v>220</v>
      </c>
      <c r="D109" s="1" t="s">
        <v>219</v>
      </c>
      <c r="E109" s="1" t="s">
        <v>122</v>
      </c>
    </row>
    <row r="110" spans="1:5">
      <c r="A110" s="1" t="s">
        <v>58</v>
      </c>
      <c r="B110" s="1" t="s">
        <v>59</v>
      </c>
      <c r="C110" s="1" t="s">
        <v>18</v>
      </c>
      <c r="D110" s="1" t="s">
        <v>17</v>
      </c>
      <c r="E110" s="1" t="s">
        <v>24</v>
      </c>
    </row>
    <row r="111" spans="1:5">
      <c r="A111" s="1" t="s">
        <v>509</v>
      </c>
      <c r="B111" s="1" t="s">
        <v>510</v>
      </c>
      <c r="C111" s="1" t="s">
        <v>493</v>
      </c>
      <c r="D111" s="1" t="s">
        <v>492</v>
      </c>
      <c r="E111" s="1" t="s">
        <v>503</v>
      </c>
    </row>
    <row r="112" spans="1:5">
      <c r="A112" s="1" t="s">
        <v>274</v>
      </c>
      <c r="B112" s="1" t="s">
        <v>275</v>
      </c>
      <c r="C112" s="1" t="s">
        <v>220</v>
      </c>
      <c r="D112" s="1" t="s">
        <v>219</v>
      </c>
      <c r="E112" s="1" t="s">
        <v>233</v>
      </c>
    </row>
    <row r="113" spans="1:5">
      <c r="A113" s="1" t="s">
        <v>556</v>
      </c>
      <c r="B113" s="1" t="s">
        <v>557</v>
      </c>
      <c r="C113" s="1" t="s">
        <v>540</v>
      </c>
      <c r="D113" s="1" t="s">
        <v>539</v>
      </c>
      <c r="E113" s="1" t="s">
        <v>233</v>
      </c>
    </row>
    <row r="114" spans="1:5">
      <c r="A114" s="1" t="s">
        <v>602</v>
      </c>
      <c r="B114" s="1" t="s">
        <v>603</v>
      </c>
      <c r="C114" s="1" t="s">
        <v>594</v>
      </c>
      <c r="D114" s="1" t="s">
        <v>593</v>
      </c>
      <c r="E114" s="1" t="s">
        <v>601</v>
      </c>
    </row>
    <row r="115" spans="1:5">
      <c r="A115" s="1" t="s">
        <v>406</v>
      </c>
      <c r="B115" s="1" t="s">
        <v>407</v>
      </c>
      <c r="C115" s="1" t="s">
        <v>363</v>
      </c>
      <c r="D115" s="1" t="s">
        <v>362</v>
      </c>
      <c r="E115" s="1" t="s">
        <v>4</v>
      </c>
    </row>
    <row r="116" spans="1:5">
      <c r="A116" s="1" t="s">
        <v>276</v>
      </c>
      <c r="B116" s="1" t="s">
        <v>277</v>
      </c>
      <c r="C116" s="1" t="s">
        <v>220</v>
      </c>
      <c r="D116" s="1" t="s">
        <v>219</v>
      </c>
      <c r="E116" s="1" t="s">
        <v>233</v>
      </c>
    </row>
    <row r="117" spans="1:5">
      <c r="A117" s="1" t="s">
        <v>278</v>
      </c>
      <c r="B117" s="1" t="s">
        <v>279</v>
      </c>
      <c r="C117" s="1" t="s">
        <v>220</v>
      </c>
      <c r="D117" s="1" t="s">
        <v>219</v>
      </c>
      <c r="E117" s="1" t="s">
        <v>230</v>
      </c>
    </row>
    <row r="118" spans="1:5">
      <c r="A118" s="1" t="s">
        <v>280</v>
      </c>
      <c r="B118" s="1" t="s">
        <v>281</v>
      </c>
      <c r="C118" s="1" t="s">
        <v>220</v>
      </c>
      <c r="D118" s="1" t="s">
        <v>219</v>
      </c>
      <c r="E118" s="1" t="s">
        <v>122</v>
      </c>
    </row>
    <row r="119" spans="1:5">
      <c r="A119" s="1" t="s">
        <v>282</v>
      </c>
      <c r="B119" s="1" t="s">
        <v>283</v>
      </c>
      <c r="C119" s="1" t="s">
        <v>220</v>
      </c>
      <c r="D119" s="1" t="s">
        <v>219</v>
      </c>
      <c r="E119" s="1" t="s">
        <v>230</v>
      </c>
    </row>
    <row r="120" spans="1:5">
      <c r="A120" s="1" t="s">
        <v>408</v>
      </c>
      <c r="B120" s="1" t="s">
        <v>409</v>
      </c>
      <c r="C120" s="1" t="s">
        <v>363</v>
      </c>
      <c r="D120" s="1" t="s">
        <v>362</v>
      </c>
      <c r="E120" s="1" t="s">
        <v>4</v>
      </c>
    </row>
    <row r="121" spans="1:5">
      <c r="A121" s="1" t="s">
        <v>284</v>
      </c>
      <c r="B121" s="1" t="s">
        <v>285</v>
      </c>
      <c r="C121" s="1" t="s">
        <v>220</v>
      </c>
      <c r="D121" s="1" t="s">
        <v>219</v>
      </c>
      <c r="E121" s="1" t="s">
        <v>221</v>
      </c>
    </row>
    <row r="122" spans="1:5">
      <c r="A122" s="1" t="s">
        <v>410</v>
      </c>
      <c r="B122" s="1" t="s">
        <v>411</v>
      </c>
      <c r="C122" s="1" t="s">
        <v>363</v>
      </c>
      <c r="D122" s="1" t="s">
        <v>362</v>
      </c>
      <c r="E122" s="1" t="s">
        <v>412</v>
      </c>
    </row>
    <row r="123" spans="1:5">
      <c r="A123" s="1" t="s">
        <v>286</v>
      </c>
      <c r="B123" s="1" t="s">
        <v>287</v>
      </c>
      <c r="C123" s="1" t="s">
        <v>220</v>
      </c>
      <c r="D123" s="1" t="s">
        <v>219</v>
      </c>
      <c r="E123" s="1" t="s">
        <v>288</v>
      </c>
    </row>
    <row r="124" spans="1:5">
      <c r="A124" s="1" t="s">
        <v>60</v>
      </c>
      <c r="B124" s="1" t="s">
        <v>61</v>
      </c>
      <c r="C124" s="1" t="s">
        <v>18</v>
      </c>
      <c r="D124" s="1" t="s">
        <v>17</v>
      </c>
      <c r="E124" s="1" t="s">
        <v>39</v>
      </c>
    </row>
    <row r="125" spans="1:5">
      <c r="A125" s="1" t="s">
        <v>472</v>
      </c>
      <c r="B125" s="1" t="s">
        <v>473</v>
      </c>
      <c r="C125" s="1" t="s">
        <v>470</v>
      </c>
      <c r="D125" s="1" t="s">
        <v>469</v>
      </c>
      <c r="E125" s="1" t="s">
        <v>471</v>
      </c>
    </row>
    <row r="126" spans="1:5">
      <c r="A126" s="1" t="s">
        <v>289</v>
      </c>
      <c r="B126" s="1" t="s">
        <v>290</v>
      </c>
      <c r="C126" s="1" t="s">
        <v>220</v>
      </c>
      <c r="D126" s="1" t="s">
        <v>219</v>
      </c>
      <c r="E126" s="1" t="s">
        <v>122</v>
      </c>
    </row>
    <row r="127" spans="1:5">
      <c r="A127" s="1" t="s">
        <v>291</v>
      </c>
      <c r="B127" s="1" t="s">
        <v>292</v>
      </c>
      <c r="C127" s="1" t="s">
        <v>220</v>
      </c>
      <c r="D127" s="1" t="s">
        <v>219</v>
      </c>
      <c r="E127" s="1" t="s">
        <v>233</v>
      </c>
    </row>
    <row r="128" spans="1:5">
      <c r="A128" s="1" t="s">
        <v>413</v>
      </c>
      <c r="B128" s="1" t="s">
        <v>414</v>
      </c>
      <c r="C128" s="1" t="s">
        <v>363</v>
      </c>
      <c r="D128" s="1" t="s">
        <v>362</v>
      </c>
      <c r="E128" s="1" t="s">
        <v>415</v>
      </c>
    </row>
    <row r="129" spans="1:5">
      <c r="A129" s="1" t="s">
        <v>416</v>
      </c>
      <c r="B129" s="1" t="s">
        <v>417</v>
      </c>
      <c r="C129" s="1" t="s">
        <v>363</v>
      </c>
      <c r="D129" s="1" t="s">
        <v>362</v>
      </c>
      <c r="E129" s="1" t="s">
        <v>4</v>
      </c>
    </row>
    <row r="130" spans="1:5">
      <c r="A130" s="1" t="s">
        <v>356</v>
      </c>
      <c r="B130" s="1" t="s">
        <v>357</v>
      </c>
      <c r="C130" s="1" t="s">
        <v>351</v>
      </c>
      <c r="D130" s="1" t="s">
        <v>350</v>
      </c>
      <c r="E130" s="1" t="s">
        <v>140</v>
      </c>
    </row>
    <row r="131" spans="1:5">
      <c r="A131" s="1" t="s">
        <v>558</v>
      </c>
      <c r="B131" s="1" t="s">
        <v>559</v>
      </c>
      <c r="C131" s="1" t="s">
        <v>540</v>
      </c>
      <c r="D131" s="1" t="s">
        <v>539</v>
      </c>
      <c r="E131" s="1" t="s">
        <v>233</v>
      </c>
    </row>
    <row r="132" spans="1:5">
      <c r="A132" s="1" t="s">
        <v>293</v>
      </c>
      <c r="B132" s="1" t="s">
        <v>294</v>
      </c>
      <c r="C132" s="1" t="s">
        <v>220</v>
      </c>
      <c r="D132" s="1" t="s">
        <v>219</v>
      </c>
      <c r="E132" s="1" t="s">
        <v>233</v>
      </c>
    </row>
    <row r="133" spans="1:5">
      <c r="A133" s="1" t="s">
        <v>418</v>
      </c>
      <c r="B133" s="1" t="s">
        <v>419</v>
      </c>
      <c r="C133" s="1" t="s">
        <v>363</v>
      </c>
      <c r="D133" s="1" t="s">
        <v>362</v>
      </c>
      <c r="E133" s="1" t="s">
        <v>420</v>
      </c>
    </row>
    <row r="134" spans="1:5">
      <c r="A134" s="1" t="s">
        <v>560</v>
      </c>
      <c r="B134" s="1" t="s">
        <v>561</v>
      </c>
      <c r="C134" s="1" t="s">
        <v>540</v>
      </c>
      <c r="D134" s="1" t="s">
        <v>539</v>
      </c>
      <c r="E134" s="1" t="s">
        <v>562</v>
      </c>
    </row>
    <row r="135" spans="1:5">
      <c r="A135" s="1" t="s">
        <v>62</v>
      </c>
      <c r="B135" s="1" t="s">
        <v>63</v>
      </c>
      <c r="C135" s="1" t="s">
        <v>18</v>
      </c>
      <c r="D135" s="1" t="s">
        <v>17</v>
      </c>
      <c r="E135" s="1" t="s">
        <v>39</v>
      </c>
    </row>
    <row r="136" spans="1:5">
      <c r="A136" s="1" t="s">
        <v>295</v>
      </c>
      <c r="B136" s="1" t="s">
        <v>296</v>
      </c>
      <c r="C136" s="1" t="s">
        <v>220</v>
      </c>
      <c r="D136" s="1" t="s">
        <v>219</v>
      </c>
      <c r="E136" s="1" t="s">
        <v>288</v>
      </c>
    </row>
    <row r="137" spans="1:5">
      <c r="A137" s="1" t="s">
        <v>168</v>
      </c>
      <c r="B137" s="1" t="s">
        <v>169</v>
      </c>
      <c r="C137" s="1" t="s">
        <v>104</v>
      </c>
      <c r="D137" s="1" t="s">
        <v>103</v>
      </c>
      <c r="E137" s="1" t="s">
        <v>140</v>
      </c>
    </row>
    <row r="138" spans="1:5">
      <c r="A138" s="1" t="s">
        <v>297</v>
      </c>
      <c r="B138" s="1" t="s">
        <v>298</v>
      </c>
      <c r="C138" s="1" t="s">
        <v>220</v>
      </c>
      <c r="D138" s="1" t="s">
        <v>219</v>
      </c>
      <c r="E138" s="1" t="s">
        <v>27</v>
      </c>
    </row>
    <row r="139" spans="1:5">
      <c r="A139" s="1" t="s">
        <v>474</v>
      </c>
      <c r="B139" s="1" t="s">
        <v>475</v>
      </c>
      <c r="C139" s="1" t="s">
        <v>470</v>
      </c>
      <c r="D139" s="1" t="s">
        <v>469</v>
      </c>
      <c r="E139" s="1" t="s">
        <v>471</v>
      </c>
    </row>
    <row r="140" spans="1:5">
      <c r="A140" s="1" t="s">
        <v>170</v>
      </c>
      <c r="B140" s="1" t="s">
        <v>171</v>
      </c>
      <c r="C140" s="1" t="s">
        <v>104</v>
      </c>
      <c r="D140" s="1" t="s">
        <v>103</v>
      </c>
      <c r="E140" s="1" t="s">
        <v>150</v>
      </c>
    </row>
    <row r="141" spans="1:5">
      <c r="A141" s="1" t="s">
        <v>421</v>
      </c>
      <c r="B141" s="1" t="s">
        <v>422</v>
      </c>
      <c r="C141" s="1" t="s">
        <v>363</v>
      </c>
      <c r="D141" s="1" t="s">
        <v>362</v>
      </c>
      <c r="E141" s="1" t="s">
        <v>4</v>
      </c>
    </row>
    <row r="142" spans="1:5">
      <c r="A142" s="1" t="s">
        <v>299</v>
      </c>
      <c r="B142" s="1" t="s">
        <v>300</v>
      </c>
      <c r="C142" s="1" t="s">
        <v>220</v>
      </c>
      <c r="D142" s="1" t="s">
        <v>219</v>
      </c>
      <c r="E142" s="1" t="s">
        <v>27</v>
      </c>
    </row>
    <row r="143" spans="1:5">
      <c r="A143" s="1" t="s">
        <v>423</v>
      </c>
      <c r="B143" s="1" t="s">
        <v>424</v>
      </c>
      <c r="C143" s="1" t="s">
        <v>363</v>
      </c>
      <c r="D143" s="1" t="s">
        <v>362</v>
      </c>
      <c r="E143" s="1" t="s">
        <v>401</v>
      </c>
    </row>
    <row r="144" spans="1:5">
      <c r="A144" s="1" t="s">
        <v>172</v>
      </c>
      <c r="B144" s="1" t="s">
        <v>173</v>
      </c>
      <c r="C144" s="1" t="s">
        <v>104</v>
      </c>
      <c r="D144" s="1" t="s">
        <v>103</v>
      </c>
      <c r="E144" s="1" t="s">
        <v>174</v>
      </c>
    </row>
    <row r="145" spans="1:5">
      <c r="A145" s="1" t="s">
        <v>8</v>
      </c>
      <c r="B145" s="1" t="s">
        <v>9</v>
      </c>
      <c r="C145" s="1" t="s">
        <v>3</v>
      </c>
      <c r="D145" s="1" t="s">
        <v>2</v>
      </c>
      <c r="E145" s="1" t="s">
        <v>4</v>
      </c>
    </row>
    <row r="146" spans="1:5">
      <c r="A146" s="1" t="s">
        <v>301</v>
      </c>
      <c r="B146" s="1" t="s">
        <v>302</v>
      </c>
      <c r="C146" s="1" t="s">
        <v>220</v>
      </c>
      <c r="D146" s="1" t="s">
        <v>219</v>
      </c>
      <c r="E146" s="1" t="s">
        <v>233</v>
      </c>
    </row>
    <row r="147" spans="1:5">
      <c r="A147" s="1" t="s">
        <v>425</v>
      </c>
      <c r="B147" s="1" t="s">
        <v>426</v>
      </c>
      <c r="C147" s="1" t="s">
        <v>363</v>
      </c>
      <c r="D147" s="1" t="s">
        <v>362</v>
      </c>
      <c r="E147" s="1" t="s">
        <v>4</v>
      </c>
    </row>
    <row r="148" spans="1:5">
      <c r="A148" s="1" t="s">
        <v>511</v>
      </c>
      <c r="B148" s="1" t="s">
        <v>512</v>
      </c>
      <c r="C148" s="1" t="s">
        <v>493</v>
      </c>
      <c r="D148" s="1" t="s">
        <v>492</v>
      </c>
      <c r="E148" s="1" t="s">
        <v>513</v>
      </c>
    </row>
    <row r="149" spans="1:5">
      <c r="A149" s="1" t="s">
        <v>303</v>
      </c>
      <c r="B149" s="1" t="s">
        <v>304</v>
      </c>
      <c r="C149" s="1" t="s">
        <v>220</v>
      </c>
      <c r="D149" s="1" t="s">
        <v>219</v>
      </c>
      <c r="E149" s="1" t="s">
        <v>263</v>
      </c>
    </row>
    <row r="150" spans="1:5">
      <c r="A150" s="1" t="s">
        <v>175</v>
      </c>
      <c r="B150" s="1" t="s">
        <v>176</v>
      </c>
      <c r="C150" s="1" t="s">
        <v>104</v>
      </c>
      <c r="D150" s="1" t="s">
        <v>103</v>
      </c>
      <c r="E150" s="1" t="s">
        <v>140</v>
      </c>
    </row>
    <row r="151" spans="1:5">
      <c r="A151" s="1" t="s">
        <v>305</v>
      </c>
      <c r="B151" s="1" t="s">
        <v>306</v>
      </c>
      <c r="C151" s="1" t="s">
        <v>220</v>
      </c>
      <c r="D151" s="1" t="s">
        <v>219</v>
      </c>
      <c r="E151" s="1" t="s">
        <v>27</v>
      </c>
    </row>
    <row r="152" spans="1:5">
      <c r="A152" s="1" t="s">
        <v>177</v>
      </c>
      <c r="B152" s="1" t="s">
        <v>178</v>
      </c>
      <c r="C152" s="1" t="s">
        <v>104</v>
      </c>
      <c r="D152" s="1" t="s">
        <v>103</v>
      </c>
      <c r="E152" s="1" t="s">
        <v>174</v>
      </c>
    </row>
    <row r="153" spans="1:5">
      <c r="A153" s="1" t="s">
        <v>528</v>
      </c>
      <c r="B153" s="1" t="s">
        <v>529</v>
      </c>
      <c r="C153" s="1" t="s">
        <v>531</v>
      </c>
      <c r="D153" s="1" t="s">
        <v>530</v>
      </c>
      <c r="E153" s="1" t="s">
        <v>532</v>
      </c>
    </row>
    <row r="154" spans="1:5">
      <c r="A154" s="1" t="s">
        <v>64</v>
      </c>
      <c r="B154" s="1" t="s">
        <v>65</v>
      </c>
      <c r="C154" s="1" t="s">
        <v>18</v>
      </c>
      <c r="D154" s="1" t="s">
        <v>17</v>
      </c>
      <c r="E154" s="1" t="s">
        <v>34</v>
      </c>
    </row>
    <row r="155" spans="1:5">
      <c r="A155" s="1" t="s">
        <v>307</v>
      </c>
      <c r="B155" s="1" t="s">
        <v>308</v>
      </c>
      <c r="C155" s="1" t="s">
        <v>220</v>
      </c>
      <c r="D155" s="1" t="s">
        <v>219</v>
      </c>
      <c r="E155" s="1" t="s">
        <v>122</v>
      </c>
    </row>
    <row r="156" spans="1:5">
      <c r="A156" s="1" t="s">
        <v>482</v>
      </c>
      <c r="B156" s="1" t="s">
        <v>483</v>
      </c>
      <c r="C156" s="1" t="s">
        <v>485</v>
      </c>
      <c r="D156" s="1" t="s">
        <v>484</v>
      </c>
      <c r="E156" s="1" t="s">
        <v>412</v>
      </c>
    </row>
    <row r="157" spans="1:5">
      <c r="A157" s="1" t="s">
        <v>346</v>
      </c>
      <c r="B157" s="1" t="s">
        <v>347</v>
      </c>
      <c r="C157" s="1" t="s">
        <v>342</v>
      </c>
      <c r="D157" s="1" t="s">
        <v>341</v>
      </c>
      <c r="E157" s="1" t="s">
        <v>343</v>
      </c>
    </row>
    <row r="158" spans="1:5">
      <c r="A158" s="1" t="s">
        <v>427</v>
      </c>
      <c r="B158" s="1" t="s">
        <v>428</v>
      </c>
      <c r="C158" s="1" t="s">
        <v>363</v>
      </c>
      <c r="D158" s="1" t="s">
        <v>362</v>
      </c>
      <c r="E158" s="1" t="s">
        <v>4</v>
      </c>
    </row>
    <row r="159" spans="1:5">
      <c r="A159" s="1" t="s">
        <v>66</v>
      </c>
      <c r="B159" s="1" t="s">
        <v>67</v>
      </c>
      <c r="C159" s="1" t="s">
        <v>18</v>
      </c>
      <c r="D159" s="1" t="s">
        <v>17</v>
      </c>
      <c r="E159" s="1" t="s">
        <v>34</v>
      </c>
    </row>
    <row r="160" spans="1:5">
      <c r="A160" s="1" t="s">
        <v>563</v>
      </c>
      <c r="B160" s="1" t="s">
        <v>564</v>
      </c>
      <c r="C160" s="1" t="s">
        <v>540</v>
      </c>
      <c r="D160" s="1" t="s">
        <v>539</v>
      </c>
      <c r="E160" s="1" t="s">
        <v>82</v>
      </c>
    </row>
    <row r="161" spans="1:5">
      <c r="A161" s="1" t="s">
        <v>68</v>
      </c>
      <c r="B161" s="1" t="s">
        <v>69</v>
      </c>
      <c r="C161" s="1" t="s">
        <v>18</v>
      </c>
      <c r="D161" s="1" t="s">
        <v>17</v>
      </c>
      <c r="E161" s="1" t="s">
        <v>27</v>
      </c>
    </row>
    <row r="162" spans="1:5">
      <c r="A162" s="1" t="s">
        <v>309</v>
      </c>
      <c r="B162" s="1" t="s">
        <v>310</v>
      </c>
      <c r="C162" s="1" t="s">
        <v>220</v>
      </c>
      <c r="D162" s="1" t="s">
        <v>219</v>
      </c>
      <c r="E162" s="1" t="s">
        <v>122</v>
      </c>
    </row>
    <row r="163" spans="1:5">
      <c r="A163" s="1" t="s">
        <v>311</v>
      </c>
      <c r="B163" s="1" t="s">
        <v>312</v>
      </c>
      <c r="C163" s="1" t="s">
        <v>220</v>
      </c>
      <c r="D163" s="1" t="s">
        <v>219</v>
      </c>
      <c r="E163" s="1" t="s">
        <v>233</v>
      </c>
    </row>
    <row r="164" spans="1:5">
      <c r="A164" s="1" t="s">
        <v>429</v>
      </c>
      <c r="B164" s="1" t="s">
        <v>430</v>
      </c>
      <c r="C164" s="1" t="s">
        <v>363</v>
      </c>
      <c r="D164" s="1" t="s">
        <v>362</v>
      </c>
      <c r="E164" s="1" t="s">
        <v>382</v>
      </c>
    </row>
    <row r="165" spans="1:5">
      <c r="A165" s="1" t="s">
        <v>514</v>
      </c>
      <c r="B165" s="1" t="s">
        <v>515</v>
      </c>
      <c r="C165" s="1" t="s">
        <v>493</v>
      </c>
      <c r="D165" s="1" t="s">
        <v>492</v>
      </c>
      <c r="E165" s="1" t="s">
        <v>516</v>
      </c>
    </row>
    <row r="166" spans="1:5">
      <c r="A166" s="1" t="s">
        <v>313</v>
      </c>
      <c r="B166" s="1" t="s">
        <v>314</v>
      </c>
      <c r="C166" s="1" t="s">
        <v>220</v>
      </c>
      <c r="D166" s="1" t="s">
        <v>219</v>
      </c>
      <c r="E166" s="1" t="s">
        <v>233</v>
      </c>
    </row>
    <row r="167" spans="1:5">
      <c r="A167" s="1" t="s">
        <v>315</v>
      </c>
      <c r="B167" s="1" t="s">
        <v>316</v>
      </c>
      <c r="C167" s="1" t="s">
        <v>220</v>
      </c>
      <c r="D167" s="1" t="s">
        <v>219</v>
      </c>
      <c r="E167" s="1" t="s">
        <v>233</v>
      </c>
    </row>
    <row r="168" spans="1:5">
      <c r="A168" s="1" t="s">
        <v>565</v>
      </c>
      <c r="B168" s="1" t="s">
        <v>566</v>
      </c>
      <c r="C168" s="1" t="s">
        <v>540</v>
      </c>
      <c r="D168" s="1" t="s">
        <v>539</v>
      </c>
      <c r="E168" s="1" t="s">
        <v>233</v>
      </c>
    </row>
    <row r="169" spans="1:5">
      <c r="A169" s="1" t="s">
        <v>533</v>
      </c>
      <c r="B169" s="1" t="s">
        <v>534</v>
      </c>
      <c r="C169" s="1" t="s">
        <v>531</v>
      </c>
      <c r="D169" s="1" t="s">
        <v>530</v>
      </c>
      <c r="E169" s="1" t="s">
        <v>192</v>
      </c>
    </row>
    <row r="170" spans="1:5">
      <c r="A170" s="1" t="s">
        <v>567</v>
      </c>
      <c r="B170" s="1" t="s">
        <v>568</v>
      </c>
      <c r="C170" s="1" t="s">
        <v>540</v>
      </c>
      <c r="D170" s="1" t="s">
        <v>539</v>
      </c>
      <c r="E170" s="1" t="s">
        <v>221</v>
      </c>
    </row>
    <row r="171" spans="1:5">
      <c r="A171" s="1" t="s">
        <v>569</v>
      </c>
      <c r="B171" s="1" t="s">
        <v>570</v>
      </c>
      <c r="C171" s="1" t="s">
        <v>540</v>
      </c>
      <c r="D171" s="1" t="s">
        <v>539</v>
      </c>
      <c r="E171" s="1" t="s">
        <v>233</v>
      </c>
    </row>
    <row r="172" spans="1:5">
      <c r="A172" s="1" t="s">
        <v>70</v>
      </c>
      <c r="B172" s="1" t="s">
        <v>71</v>
      </c>
      <c r="C172" s="1" t="s">
        <v>18</v>
      </c>
      <c r="D172" s="1" t="s">
        <v>17</v>
      </c>
      <c r="E172" s="1" t="s">
        <v>34</v>
      </c>
    </row>
    <row r="173" spans="1:5">
      <c r="A173" s="1" t="s">
        <v>72</v>
      </c>
      <c r="B173" s="1" t="s">
        <v>73</v>
      </c>
      <c r="C173" s="1" t="s">
        <v>18</v>
      </c>
      <c r="D173" s="1" t="s">
        <v>17</v>
      </c>
      <c r="E173" s="1" t="s">
        <v>34</v>
      </c>
    </row>
    <row r="174" spans="1:5">
      <c r="A174" s="1" t="s">
        <v>317</v>
      </c>
      <c r="B174" s="1" t="s">
        <v>318</v>
      </c>
      <c r="C174" s="1" t="s">
        <v>220</v>
      </c>
      <c r="D174" s="1" t="s">
        <v>219</v>
      </c>
      <c r="E174" s="1" t="s">
        <v>111</v>
      </c>
    </row>
    <row r="175" spans="1:5">
      <c r="A175" s="1" t="s">
        <v>478</v>
      </c>
      <c r="B175" s="1" t="s">
        <v>479</v>
      </c>
      <c r="C175" s="1" t="s">
        <v>481</v>
      </c>
      <c r="D175" s="1" t="s">
        <v>480</v>
      </c>
      <c r="E175" s="1" t="s">
        <v>233</v>
      </c>
    </row>
    <row r="176" spans="1:5">
      <c r="A176" s="1" t="s">
        <v>74</v>
      </c>
      <c r="B176" s="1" t="s">
        <v>75</v>
      </c>
      <c r="C176" s="1" t="s">
        <v>18</v>
      </c>
      <c r="D176" s="1" t="s">
        <v>17</v>
      </c>
      <c r="E176" s="1" t="s">
        <v>19</v>
      </c>
    </row>
    <row r="177" spans="1:5">
      <c r="A177" s="1" t="s">
        <v>431</v>
      </c>
      <c r="B177" s="1" t="s">
        <v>432</v>
      </c>
      <c r="C177" s="1" t="s">
        <v>363</v>
      </c>
      <c r="D177" s="1" t="s">
        <v>362</v>
      </c>
      <c r="E177" s="1" t="s">
        <v>382</v>
      </c>
    </row>
    <row r="178" spans="1:5">
      <c r="A178" s="1" t="s">
        <v>571</v>
      </c>
      <c r="B178" s="1" t="s">
        <v>572</v>
      </c>
      <c r="C178" s="1" t="s">
        <v>540</v>
      </c>
      <c r="D178" s="1" t="s">
        <v>539</v>
      </c>
      <c r="E178" s="1" t="s">
        <v>82</v>
      </c>
    </row>
    <row r="179" spans="1:5">
      <c r="A179" s="1" t="s">
        <v>433</v>
      </c>
      <c r="B179" s="1" t="s">
        <v>434</v>
      </c>
      <c r="C179" s="1" t="s">
        <v>363</v>
      </c>
      <c r="D179" s="1" t="s">
        <v>362</v>
      </c>
      <c r="E179" s="1" t="s">
        <v>7</v>
      </c>
    </row>
    <row r="180" spans="1:5">
      <c r="A180" s="1" t="s">
        <v>76</v>
      </c>
      <c r="B180" s="1" t="s">
        <v>77</v>
      </c>
      <c r="C180" s="1" t="s">
        <v>18</v>
      </c>
      <c r="D180" s="1" t="s">
        <v>17</v>
      </c>
      <c r="E180" s="1" t="s">
        <v>19</v>
      </c>
    </row>
    <row r="181" spans="1:5">
      <c r="A181" s="1" t="s">
        <v>319</v>
      </c>
      <c r="B181" s="1" t="s">
        <v>320</v>
      </c>
      <c r="C181" s="1" t="s">
        <v>220</v>
      </c>
      <c r="D181" s="1" t="s">
        <v>219</v>
      </c>
      <c r="E181" s="1" t="s">
        <v>224</v>
      </c>
    </row>
    <row r="182" spans="1:5">
      <c r="A182" s="1" t="s">
        <v>435</v>
      </c>
      <c r="B182" s="1" t="s">
        <v>436</v>
      </c>
      <c r="C182" s="1" t="s">
        <v>363</v>
      </c>
      <c r="D182" s="1" t="s">
        <v>362</v>
      </c>
      <c r="E182" s="1" t="s">
        <v>4</v>
      </c>
    </row>
    <row r="183" spans="1:5">
      <c r="A183" s="1" t="s">
        <v>78</v>
      </c>
      <c r="B183" s="1" t="s">
        <v>79</v>
      </c>
      <c r="C183" s="1" t="s">
        <v>18</v>
      </c>
      <c r="D183" s="1" t="s">
        <v>17</v>
      </c>
      <c r="E183" s="1" t="s">
        <v>27</v>
      </c>
    </row>
    <row r="184" spans="1:5">
      <c r="A184" s="1" t="s">
        <v>321</v>
      </c>
      <c r="B184" s="1" t="s">
        <v>322</v>
      </c>
      <c r="C184" s="1" t="s">
        <v>220</v>
      </c>
      <c r="D184" s="1" t="s">
        <v>219</v>
      </c>
      <c r="E184" s="1" t="s">
        <v>19</v>
      </c>
    </row>
    <row r="185" spans="1:5">
      <c r="A185" s="1" t="s">
        <v>323</v>
      </c>
      <c r="B185" s="1" t="s">
        <v>324</v>
      </c>
      <c r="C185" s="1" t="s">
        <v>220</v>
      </c>
      <c r="D185" s="1" t="s">
        <v>219</v>
      </c>
      <c r="E185" s="1" t="s">
        <v>19</v>
      </c>
    </row>
    <row r="186" spans="1:5">
      <c r="A186" s="1" t="s">
        <v>573</v>
      </c>
      <c r="B186" s="1" t="s">
        <v>574</v>
      </c>
      <c r="C186" s="1" t="s">
        <v>540</v>
      </c>
      <c r="D186" s="1" t="s">
        <v>539</v>
      </c>
      <c r="E186" s="1" t="s">
        <v>82</v>
      </c>
    </row>
    <row r="187" spans="1:5">
      <c r="A187" s="1" t="s">
        <v>524</v>
      </c>
      <c r="B187" s="1" t="s">
        <v>525</v>
      </c>
      <c r="C187" s="1" t="s">
        <v>527</v>
      </c>
      <c r="D187" s="1" t="s">
        <v>526</v>
      </c>
      <c r="E187" s="1" t="s">
        <v>19</v>
      </c>
    </row>
    <row r="188" spans="1:5">
      <c r="A188" s="1" t="s">
        <v>179</v>
      </c>
      <c r="B188" s="1" t="s">
        <v>180</v>
      </c>
      <c r="C188" s="1" t="s">
        <v>104</v>
      </c>
      <c r="D188" s="1" t="s">
        <v>103</v>
      </c>
      <c r="E188" s="1" t="s">
        <v>181</v>
      </c>
    </row>
    <row r="189" spans="1:5">
      <c r="A189" s="1" t="s">
        <v>182</v>
      </c>
      <c r="B189" s="1" t="s">
        <v>183</v>
      </c>
      <c r="C189" s="1" t="s">
        <v>104</v>
      </c>
      <c r="D189" s="1" t="s">
        <v>103</v>
      </c>
      <c r="E189" s="1" t="s">
        <v>184</v>
      </c>
    </row>
    <row r="190" spans="1:5">
      <c r="A190" s="1" t="s">
        <v>80</v>
      </c>
      <c r="B190" s="1" t="s">
        <v>81</v>
      </c>
      <c r="C190" s="1" t="s">
        <v>18</v>
      </c>
      <c r="D190" s="1" t="s">
        <v>17</v>
      </c>
      <c r="E190" s="1" t="s">
        <v>82</v>
      </c>
    </row>
    <row r="191" spans="1:5">
      <c r="A191" s="1" t="s">
        <v>185</v>
      </c>
      <c r="B191" s="1" t="s">
        <v>186</v>
      </c>
      <c r="C191" s="1" t="s">
        <v>104</v>
      </c>
      <c r="D191" s="1" t="s">
        <v>103</v>
      </c>
      <c r="E191" s="1" t="s">
        <v>187</v>
      </c>
    </row>
    <row r="192" spans="1:5">
      <c r="A192" s="1" t="s">
        <v>325</v>
      </c>
      <c r="B192" s="1" t="s">
        <v>326</v>
      </c>
      <c r="C192" s="1" t="s">
        <v>220</v>
      </c>
      <c r="D192" s="1" t="s">
        <v>219</v>
      </c>
      <c r="E192" s="1" t="s">
        <v>122</v>
      </c>
    </row>
    <row r="193" spans="1:5">
      <c r="A193" s="1" t="s">
        <v>83</v>
      </c>
      <c r="B193" s="1" t="s">
        <v>84</v>
      </c>
      <c r="C193" s="1" t="s">
        <v>18</v>
      </c>
      <c r="D193" s="1" t="s">
        <v>17</v>
      </c>
      <c r="E193" s="1" t="s">
        <v>24</v>
      </c>
    </row>
    <row r="194" spans="1:5">
      <c r="A194" s="1" t="s">
        <v>437</v>
      </c>
      <c r="B194" s="1" t="s">
        <v>438</v>
      </c>
      <c r="C194" s="1" t="s">
        <v>363</v>
      </c>
      <c r="D194" s="1" t="s">
        <v>362</v>
      </c>
      <c r="E194" s="1" t="s">
        <v>391</v>
      </c>
    </row>
    <row r="195" spans="1:5">
      <c r="A195" s="1" t="s">
        <v>85</v>
      </c>
      <c r="B195" s="1" t="s">
        <v>86</v>
      </c>
      <c r="C195" s="1" t="s">
        <v>18</v>
      </c>
      <c r="D195" s="1" t="s">
        <v>17</v>
      </c>
      <c r="E195" s="1" t="s">
        <v>34</v>
      </c>
    </row>
    <row r="196" spans="1:5">
      <c r="A196" s="1" t="s">
        <v>327</v>
      </c>
      <c r="B196" s="1" t="s">
        <v>328</v>
      </c>
      <c r="C196" s="1" t="s">
        <v>220</v>
      </c>
      <c r="D196" s="1" t="s">
        <v>219</v>
      </c>
      <c r="E196" s="1" t="s">
        <v>227</v>
      </c>
    </row>
    <row r="197" spans="1:5">
      <c r="A197" s="1" t="s">
        <v>87</v>
      </c>
      <c r="B197" s="1" t="s">
        <v>88</v>
      </c>
      <c r="C197" s="1" t="s">
        <v>18</v>
      </c>
      <c r="D197" s="1" t="s">
        <v>17</v>
      </c>
      <c r="E197" s="1" t="s">
        <v>34</v>
      </c>
    </row>
    <row r="198" spans="1:5">
      <c r="A198" s="1" t="s">
        <v>535</v>
      </c>
      <c r="B198" s="1" t="s">
        <v>536</v>
      </c>
      <c r="C198" s="1" t="s">
        <v>531</v>
      </c>
      <c r="D198" s="1" t="s">
        <v>530</v>
      </c>
      <c r="E198" s="1" t="s">
        <v>202</v>
      </c>
    </row>
    <row r="199" spans="1:5">
      <c r="A199" s="1" t="s">
        <v>608</v>
      </c>
      <c r="B199" s="1" t="s">
        <v>609</v>
      </c>
      <c r="C199" s="1" t="s">
        <v>607</v>
      </c>
      <c r="D199" s="1" t="s">
        <v>606</v>
      </c>
      <c r="E199" s="1" t="s">
        <v>122</v>
      </c>
    </row>
    <row r="200" spans="1:5">
      <c r="A200" s="1" t="s">
        <v>575</v>
      </c>
      <c r="B200" s="1" t="s">
        <v>576</v>
      </c>
      <c r="C200" s="1" t="s">
        <v>540</v>
      </c>
      <c r="D200" s="1" t="s">
        <v>539</v>
      </c>
      <c r="E200" s="1" t="s">
        <v>82</v>
      </c>
    </row>
    <row r="201" spans="1:5">
      <c r="A201" s="1" t="s">
        <v>89</v>
      </c>
      <c r="B201" s="1" t="s">
        <v>90</v>
      </c>
      <c r="C201" s="1" t="s">
        <v>18</v>
      </c>
      <c r="D201" s="1" t="s">
        <v>17</v>
      </c>
      <c r="E201" s="1" t="s">
        <v>48</v>
      </c>
    </row>
    <row r="202" spans="1:5">
      <c r="A202" s="1" t="s">
        <v>188</v>
      </c>
      <c r="B202" s="1" t="s">
        <v>189</v>
      </c>
      <c r="C202" s="1" t="s">
        <v>104</v>
      </c>
      <c r="D202" s="1" t="s">
        <v>103</v>
      </c>
      <c r="E202" s="1" t="s">
        <v>147</v>
      </c>
    </row>
    <row r="203" spans="1:5">
      <c r="A203" s="1" t="s">
        <v>190</v>
      </c>
      <c r="B203" s="1" t="s">
        <v>191</v>
      </c>
      <c r="C203" s="1" t="s">
        <v>104</v>
      </c>
      <c r="D203" s="1" t="s">
        <v>103</v>
      </c>
      <c r="E203" s="1" t="s">
        <v>192</v>
      </c>
    </row>
    <row r="204" spans="1:5">
      <c r="A204" s="1" t="s">
        <v>439</v>
      </c>
      <c r="B204" s="1" t="s">
        <v>440</v>
      </c>
      <c r="C204" s="1" t="s">
        <v>363</v>
      </c>
      <c r="D204" s="1" t="s">
        <v>362</v>
      </c>
      <c r="E204" s="1" t="s">
        <v>415</v>
      </c>
    </row>
    <row r="205" spans="1:5">
      <c r="A205" s="1" t="s">
        <v>329</v>
      </c>
      <c r="B205" s="1" t="s">
        <v>330</v>
      </c>
      <c r="C205" s="1" t="s">
        <v>220</v>
      </c>
      <c r="D205" s="1" t="s">
        <v>219</v>
      </c>
      <c r="E205" s="1" t="s">
        <v>233</v>
      </c>
    </row>
    <row r="206" spans="1:5">
      <c r="A206" s="1" t="s">
        <v>193</v>
      </c>
      <c r="B206" s="1" t="s">
        <v>194</v>
      </c>
      <c r="C206" s="1" t="s">
        <v>104</v>
      </c>
      <c r="D206" s="1" t="s">
        <v>103</v>
      </c>
      <c r="E206" s="1" t="s">
        <v>111</v>
      </c>
    </row>
    <row r="207" spans="1:5">
      <c r="A207" s="1" t="s">
        <v>577</v>
      </c>
      <c r="B207" s="1" t="s">
        <v>578</v>
      </c>
      <c r="C207" s="1" t="s">
        <v>540</v>
      </c>
      <c r="D207" s="1" t="s">
        <v>539</v>
      </c>
      <c r="E207" s="1" t="s">
        <v>543</v>
      </c>
    </row>
    <row r="208" spans="1:5">
      <c r="A208" s="1" t="s">
        <v>486</v>
      </c>
      <c r="B208" s="1" t="s">
        <v>487</v>
      </c>
      <c r="C208" s="1" t="s">
        <v>489</v>
      </c>
      <c r="D208" s="1" t="s">
        <v>488</v>
      </c>
      <c r="E208" s="1" t="s">
        <v>187</v>
      </c>
    </row>
    <row r="209" spans="1:5">
      <c r="A209" s="1" t="s">
        <v>610</v>
      </c>
      <c r="B209" s="1" t="s">
        <v>611</v>
      </c>
      <c r="C209" s="1" t="s">
        <v>607</v>
      </c>
      <c r="D209" s="1" t="s">
        <v>606</v>
      </c>
      <c r="E209" s="1" t="s">
        <v>122</v>
      </c>
    </row>
    <row r="210" spans="1:5">
      <c r="A210" s="1" t="s">
        <v>476</v>
      </c>
      <c r="B210" s="1" t="s">
        <v>477</v>
      </c>
      <c r="C210" s="1" t="s">
        <v>470</v>
      </c>
      <c r="D210" s="1" t="s">
        <v>469</v>
      </c>
      <c r="E210" s="1" t="s">
        <v>471</v>
      </c>
    </row>
    <row r="211" spans="1:5">
      <c r="A211" s="1" t="s">
        <v>441</v>
      </c>
      <c r="B211" s="1" t="s">
        <v>442</v>
      </c>
      <c r="C211" s="1" t="s">
        <v>363</v>
      </c>
      <c r="D211" s="1" t="s">
        <v>362</v>
      </c>
      <c r="E211" s="1" t="s">
        <v>382</v>
      </c>
    </row>
    <row r="212" spans="1:5">
      <c r="A212" s="1" t="s">
        <v>612</v>
      </c>
      <c r="B212" s="1" t="s">
        <v>613</v>
      </c>
      <c r="C212" s="1" t="s">
        <v>607</v>
      </c>
      <c r="D212" s="1" t="s">
        <v>606</v>
      </c>
      <c r="E212" s="1" t="s">
        <v>122</v>
      </c>
    </row>
    <row r="213" spans="1:5">
      <c r="A213" s="1" t="s">
        <v>579</v>
      </c>
      <c r="B213" s="1" t="s">
        <v>580</v>
      </c>
      <c r="C213" s="1" t="s">
        <v>540</v>
      </c>
      <c r="D213" s="1" t="s">
        <v>539</v>
      </c>
      <c r="E213" s="1" t="s">
        <v>227</v>
      </c>
    </row>
    <row r="214" spans="1:5">
      <c r="A214" s="1" t="s">
        <v>581</v>
      </c>
      <c r="B214" s="1" t="s">
        <v>582</v>
      </c>
      <c r="C214" s="1" t="s">
        <v>540</v>
      </c>
      <c r="D214" s="1" t="s">
        <v>539</v>
      </c>
      <c r="E214" s="1" t="s">
        <v>227</v>
      </c>
    </row>
    <row r="215" spans="1:5">
      <c r="A215" s="1" t="s">
        <v>443</v>
      </c>
      <c r="B215" s="1" t="s">
        <v>444</v>
      </c>
      <c r="C215" s="1" t="s">
        <v>363</v>
      </c>
      <c r="D215" s="1" t="s">
        <v>362</v>
      </c>
      <c r="E215" s="1" t="s">
        <v>184</v>
      </c>
    </row>
    <row r="216" spans="1:5">
      <c r="A216" s="1" t="s">
        <v>331</v>
      </c>
      <c r="B216" s="1" t="s">
        <v>332</v>
      </c>
      <c r="C216" s="1" t="s">
        <v>220</v>
      </c>
      <c r="D216" s="1" t="s">
        <v>219</v>
      </c>
      <c r="E216" s="1" t="s">
        <v>221</v>
      </c>
    </row>
    <row r="217" spans="1:5">
      <c r="A217" s="1" t="s">
        <v>195</v>
      </c>
      <c r="B217" s="1" t="s">
        <v>196</v>
      </c>
      <c r="C217" s="1" t="s">
        <v>104</v>
      </c>
      <c r="D217" s="1" t="s">
        <v>103</v>
      </c>
      <c r="E217" s="1" t="s">
        <v>147</v>
      </c>
    </row>
    <row r="218" spans="1:5">
      <c r="A218" s="1" t="s">
        <v>583</v>
      </c>
      <c r="B218" s="1" t="s">
        <v>584</v>
      </c>
      <c r="C218" s="1" t="s">
        <v>540</v>
      </c>
      <c r="D218" s="1" t="s">
        <v>539</v>
      </c>
      <c r="E218" s="1" t="s">
        <v>82</v>
      </c>
    </row>
    <row r="219" spans="1:5">
      <c r="A219" s="1" t="s">
        <v>585</v>
      </c>
      <c r="B219" s="1" t="s">
        <v>586</v>
      </c>
      <c r="C219" s="1" t="s">
        <v>540</v>
      </c>
      <c r="D219" s="1" t="s">
        <v>539</v>
      </c>
      <c r="E219" s="1" t="s">
        <v>562</v>
      </c>
    </row>
    <row r="220" spans="1:5">
      <c r="A220" s="1" t="s">
        <v>197</v>
      </c>
      <c r="B220" s="1" t="s">
        <v>198</v>
      </c>
      <c r="C220" s="1" t="s">
        <v>104</v>
      </c>
      <c r="D220" s="1" t="s">
        <v>103</v>
      </c>
      <c r="E220" s="1" t="s">
        <v>199</v>
      </c>
    </row>
    <row r="221" spans="1:5">
      <c r="A221" s="1" t="s">
        <v>91</v>
      </c>
      <c r="B221" s="1" t="s">
        <v>92</v>
      </c>
      <c r="C221" s="1" t="s">
        <v>18</v>
      </c>
      <c r="D221" s="1" t="s">
        <v>17</v>
      </c>
      <c r="E221" s="1" t="s">
        <v>19</v>
      </c>
    </row>
    <row r="222" spans="1:5">
      <c r="A222" s="1" t="s">
        <v>93</v>
      </c>
      <c r="B222" s="1" t="s">
        <v>94</v>
      </c>
      <c r="C222" s="1" t="s">
        <v>18</v>
      </c>
      <c r="D222" s="1" t="s">
        <v>17</v>
      </c>
      <c r="E222" s="1" t="s">
        <v>48</v>
      </c>
    </row>
    <row r="223" spans="1:5">
      <c r="A223" s="1" t="s">
        <v>95</v>
      </c>
      <c r="B223" s="1" t="s">
        <v>96</v>
      </c>
      <c r="C223" s="1" t="s">
        <v>18</v>
      </c>
      <c r="D223" s="1" t="s">
        <v>17</v>
      </c>
      <c r="E223" s="1" t="s">
        <v>48</v>
      </c>
    </row>
    <row r="224" spans="1:5">
      <c r="A224" s="1" t="s">
        <v>445</v>
      </c>
      <c r="B224" s="1" t="s">
        <v>446</v>
      </c>
      <c r="C224" s="1" t="s">
        <v>363</v>
      </c>
      <c r="D224" s="1" t="s">
        <v>362</v>
      </c>
      <c r="E224" s="1" t="s">
        <v>415</v>
      </c>
    </row>
    <row r="225" spans="1:5">
      <c r="A225" s="1" t="s">
        <v>447</v>
      </c>
      <c r="B225" s="1" t="s">
        <v>448</v>
      </c>
      <c r="C225" s="1" t="s">
        <v>363</v>
      </c>
      <c r="D225" s="1" t="s">
        <v>362</v>
      </c>
      <c r="E225" s="1" t="s">
        <v>420</v>
      </c>
    </row>
    <row r="226" spans="1:5">
      <c r="A226" s="1" t="s">
        <v>449</v>
      </c>
      <c r="B226" s="1" t="s">
        <v>450</v>
      </c>
      <c r="C226" s="1" t="s">
        <v>363</v>
      </c>
      <c r="D226" s="1" t="s">
        <v>362</v>
      </c>
      <c r="E226" s="1" t="s">
        <v>388</v>
      </c>
    </row>
    <row r="227" spans="1:5">
      <c r="A227" s="1" t="s">
        <v>451</v>
      </c>
      <c r="B227" s="1" t="s">
        <v>452</v>
      </c>
      <c r="C227" s="1" t="s">
        <v>363</v>
      </c>
      <c r="D227" s="1" t="s">
        <v>362</v>
      </c>
      <c r="E227" s="1" t="s">
        <v>150</v>
      </c>
    </row>
    <row r="228" spans="1:5">
      <c r="A228" s="1" t="s">
        <v>200</v>
      </c>
      <c r="B228" s="1" t="s">
        <v>201</v>
      </c>
      <c r="C228" s="1" t="s">
        <v>104</v>
      </c>
      <c r="D228" s="1" t="s">
        <v>103</v>
      </c>
      <c r="E228" s="1" t="s">
        <v>202</v>
      </c>
    </row>
    <row r="229" spans="1:5">
      <c r="A229" s="1" t="s">
        <v>517</v>
      </c>
      <c r="B229" s="1" t="s">
        <v>518</v>
      </c>
      <c r="C229" s="1" t="s">
        <v>493</v>
      </c>
      <c r="D229" s="1" t="s">
        <v>492</v>
      </c>
      <c r="E229" s="1" t="s">
        <v>202</v>
      </c>
    </row>
    <row r="230" spans="1:5">
      <c r="A230" s="1" t="s">
        <v>203</v>
      </c>
      <c r="B230" s="1" t="s">
        <v>204</v>
      </c>
      <c r="C230" s="1" t="s">
        <v>104</v>
      </c>
      <c r="D230" s="1" t="s">
        <v>103</v>
      </c>
      <c r="E230" s="1" t="s">
        <v>205</v>
      </c>
    </row>
    <row r="231" spans="1:5">
      <c r="A231" s="1" t="s">
        <v>453</v>
      </c>
      <c r="B231" s="1" t="s">
        <v>454</v>
      </c>
      <c r="C231" s="1" t="s">
        <v>363</v>
      </c>
      <c r="D231" s="1" t="s">
        <v>362</v>
      </c>
      <c r="E231" s="1" t="s">
        <v>114</v>
      </c>
    </row>
    <row r="232" spans="1:5">
      <c r="A232" s="1" t="s">
        <v>206</v>
      </c>
      <c r="B232" s="1" t="s">
        <v>207</v>
      </c>
      <c r="C232" s="1" t="s">
        <v>104</v>
      </c>
      <c r="D232" s="1" t="s">
        <v>103</v>
      </c>
      <c r="E232" s="1" t="s">
        <v>150</v>
      </c>
    </row>
    <row r="233" spans="1:5">
      <c r="A233" s="1" t="s">
        <v>616</v>
      </c>
      <c r="B233" s="1" t="s">
        <v>617</v>
      </c>
      <c r="C233" s="1" t="s">
        <v>617</v>
      </c>
      <c r="D233" s="1" t="s">
        <v>618</v>
      </c>
      <c r="E233" s="1" t="s">
        <v>202</v>
      </c>
    </row>
    <row r="234" spans="1:5">
      <c r="A234" s="1" t="s">
        <v>455</v>
      </c>
      <c r="B234" s="1" t="s">
        <v>456</v>
      </c>
      <c r="C234" s="1" t="s">
        <v>363</v>
      </c>
      <c r="D234" s="1" t="s">
        <v>362</v>
      </c>
      <c r="E234" s="1" t="s">
        <v>401</v>
      </c>
    </row>
    <row r="235" spans="1:5">
      <c r="A235" s="1" t="s">
        <v>333</v>
      </c>
      <c r="B235" s="1" t="s">
        <v>334</v>
      </c>
      <c r="C235" s="1" t="s">
        <v>220</v>
      </c>
      <c r="D235" s="1" t="s">
        <v>219</v>
      </c>
      <c r="E235" s="1" t="s">
        <v>288</v>
      </c>
    </row>
    <row r="236" spans="1:5">
      <c r="A236" s="1" t="s">
        <v>97</v>
      </c>
      <c r="B236" s="1" t="s">
        <v>98</v>
      </c>
      <c r="C236" s="1" t="s">
        <v>18</v>
      </c>
      <c r="D236" s="1" t="s">
        <v>17</v>
      </c>
      <c r="E236" s="1" t="s">
        <v>39</v>
      </c>
    </row>
    <row r="237" spans="1:5">
      <c r="A237" s="1" t="s">
        <v>457</v>
      </c>
      <c r="B237" s="1" t="s">
        <v>458</v>
      </c>
      <c r="C237" s="1" t="s">
        <v>363</v>
      </c>
      <c r="D237" s="1" t="s">
        <v>362</v>
      </c>
      <c r="E237" s="1" t="s">
        <v>150</v>
      </c>
    </row>
    <row r="238" spans="1:5">
      <c r="A238" s="1" t="s">
        <v>587</v>
      </c>
      <c r="B238" s="1" t="s">
        <v>588</v>
      </c>
      <c r="C238" s="1" t="s">
        <v>540</v>
      </c>
      <c r="D238" s="1" t="s">
        <v>539</v>
      </c>
      <c r="E238" s="1" t="s">
        <v>53</v>
      </c>
    </row>
    <row r="239" spans="1:5">
      <c r="A239" s="1" t="s">
        <v>99</v>
      </c>
      <c r="B239" s="1" t="s">
        <v>100</v>
      </c>
      <c r="C239" s="1" t="s">
        <v>18</v>
      </c>
      <c r="D239" s="1" t="s">
        <v>17</v>
      </c>
      <c r="E239" s="1" t="s">
        <v>39</v>
      </c>
    </row>
    <row r="240" spans="1:5">
      <c r="A240" s="1" t="s">
        <v>519</v>
      </c>
      <c r="B240" s="1" t="s">
        <v>520</v>
      </c>
      <c r="C240" s="1" t="s">
        <v>493</v>
      </c>
      <c r="D240" s="1" t="s">
        <v>492</v>
      </c>
      <c r="E240" s="1" t="s">
        <v>521</v>
      </c>
    </row>
    <row r="241" spans="1:5">
      <c r="A241" s="1" t="s">
        <v>459</v>
      </c>
      <c r="B241" s="1" t="s">
        <v>460</v>
      </c>
      <c r="C241" s="1" t="s">
        <v>363</v>
      </c>
      <c r="D241" s="1" t="s">
        <v>362</v>
      </c>
      <c r="E241" s="1" t="s">
        <v>391</v>
      </c>
    </row>
    <row r="242" spans="1:5">
      <c r="A242" s="1" t="s">
        <v>461</v>
      </c>
      <c r="B242" s="1" t="s">
        <v>462</v>
      </c>
      <c r="C242" s="1" t="s">
        <v>363</v>
      </c>
      <c r="D242" s="1" t="s">
        <v>362</v>
      </c>
      <c r="E242" s="1" t="s">
        <v>388</v>
      </c>
    </row>
    <row r="243" spans="1:5">
      <c r="A243" s="1" t="s">
        <v>208</v>
      </c>
      <c r="B243" s="1" t="s">
        <v>209</v>
      </c>
      <c r="C243" s="1" t="s">
        <v>104</v>
      </c>
      <c r="D243" s="1" t="s">
        <v>103</v>
      </c>
      <c r="E243" s="1" t="s">
        <v>202</v>
      </c>
    </row>
    <row r="244" spans="1:5">
      <c r="A244" s="1" t="s">
        <v>589</v>
      </c>
      <c r="B244" s="1" t="s">
        <v>590</v>
      </c>
      <c r="C244" s="1" t="s">
        <v>540</v>
      </c>
      <c r="D244" s="1" t="s">
        <v>539</v>
      </c>
      <c r="E244" s="1" t="s">
        <v>562</v>
      </c>
    </row>
    <row r="245" spans="1:5">
      <c r="A245" s="1" t="s">
        <v>614</v>
      </c>
      <c r="B245" s="1" t="s">
        <v>615</v>
      </c>
      <c r="C245" s="1" t="s">
        <v>607</v>
      </c>
      <c r="D245" s="1" t="s">
        <v>606</v>
      </c>
      <c r="E245" s="1" t="s">
        <v>122</v>
      </c>
    </row>
    <row r="246" spans="1:5">
      <c r="A246" s="1" t="s">
        <v>358</v>
      </c>
      <c r="B246" s="1" t="s">
        <v>359</v>
      </c>
      <c r="C246" s="1" t="s">
        <v>351</v>
      </c>
      <c r="D246" s="1" t="s">
        <v>350</v>
      </c>
      <c r="E246" s="1" t="s">
        <v>140</v>
      </c>
    </row>
    <row r="247" spans="1:5">
      <c r="A247" s="1" t="s">
        <v>210</v>
      </c>
      <c r="B247" s="1" t="s">
        <v>211</v>
      </c>
      <c r="C247" s="1" t="s">
        <v>104</v>
      </c>
      <c r="D247" s="1" t="s">
        <v>103</v>
      </c>
      <c r="E247" s="1" t="s">
        <v>212</v>
      </c>
    </row>
    <row r="248" spans="1:5">
      <c r="A248" s="1" t="s">
        <v>463</v>
      </c>
      <c r="B248" s="1" t="s">
        <v>464</v>
      </c>
      <c r="C248" s="1" t="s">
        <v>363</v>
      </c>
      <c r="D248" s="1" t="s">
        <v>362</v>
      </c>
      <c r="E248" s="1" t="s">
        <v>371</v>
      </c>
    </row>
    <row r="249" spans="1:5">
      <c r="A249" s="1" t="s">
        <v>335</v>
      </c>
      <c r="B249" s="1" t="s">
        <v>336</v>
      </c>
      <c r="C249" s="1" t="s">
        <v>220</v>
      </c>
      <c r="D249" s="1" t="s">
        <v>219</v>
      </c>
      <c r="E249" s="1" t="s">
        <v>27</v>
      </c>
    </row>
    <row r="250" spans="1:5">
      <c r="A250" s="1" t="s">
        <v>213</v>
      </c>
      <c r="B250" s="1" t="s">
        <v>214</v>
      </c>
      <c r="C250" s="1" t="s">
        <v>104</v>
      </c>
      <c r="D250" s="1" t="s">
        <v>103</v>
      </c>
      <c r="E250" s="1" t="s">
        <v>202</v>
      </c>
    </row>
    <row r="251" spans="1:5">
      <c r="A251" s="1" t="s">
        <v>215</v>
      </c>
      <c r="B251" s="1" t="s">
        <v>216</v>
      </c>
      <c r="C251" s="1" t="s">
        <v>104</v>
      </c>
      <c r="D251" s="1" t="s">
        <v>103</v>
      </c>
      <c r="E251" s="1" t="s">
        <v>181</v>
      </c>
    </row>
    <row r="252" spans="1:5">
      <c r="A252" s="1" t="s">
        <v>619</v>
      </c>
      <c r="B252" s="1" t="s">
        <v>620</v>
      </c>
      <c r="C252" s="1" t="s">
        <v>622</v>
      </c>
      <c r="D252" s="1" t="s">
        <v>621</v>
      </c>
      <c r="E252" s="1" t="s">
        <v>202</v>
      </c>
    </row>
    <row r="253" spans="1:5">
      <c r="A253" s="1" t="s">
        <v>522</v>
      </c>
      <c r="B253" s="1" t="s">
        <v>523</v>
      </c>
      <c r="C253" s="1" t="s">
        <v>493</v>
      </c>
      <c r="D253" s="1" t="s">
        <v>492</v>
      </c>
      <c r="E253" s="1" t="s">
        <v>494</v>
      </c>
    </row>
    <row r="254" spans="1:5">
      <c r="A254" s="1" t="s">
        <v>465</v>
      </c>
      <c r="B254" s="1" t="s">
        <v>466</v>
      </c>
      <c r="C254" s="1" t="s">
        <v>363</v>
      </c>
      <c r="D254" s="1" t="s">
        <v>362</v>
      </c>
      <c r="E254" s="1" t="s">
        <v>388</v>
      </c>
    </row>
    <row r="255" spans="1:5">
      <c r="A255" s="1" t="s">
        <v>337</v>
      </c>
      <c r="B255" s="1" t="s">
        <v>338</v>
      </c>
      <c r="C255" s="1" t="s">
        <v>220</v>
      </c>
      <c r="D255" s="1" t="s">
        <v>219</v>
      </c>
      <c r="E255" s="1" t="s">
        <v>19</v>
      </c>
    </row>
    <row r="256" spans="1:5">
      <c r="A256" s="1" t="s">
        <v>623</v>
      </c>
      <c r="B256" s="1" t="s">
        <v>624</v>
      </c>
      <c r="C256" s="1" t="s">
        <v>626</v>
      </c>
      <c r="D256" s="1" t="s">
        <v>625</v>
      </c>
      <c r="E256" s="1" t="s">
        <v>187</v>
      </c>
    </row>
  </sheetData>
  <sortState ref="A1:E256">
    <sortCondition ref="A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"/>
  <sheetViews>
    <sheetView tabSelected="1" topLeftCell="D1" zoomScaleNormal="100" workbookViewId="0">
      <selection activeCell="S21" sqref="S21"/>
    </sheetView>
  </sheetViews>
  <sheetFormatPr defaultRowHeight="12.75"/>
  <cols>
    <col min="1" max="1" width="9.140625" style="28" customWidth="1"/>
    <col min="2" max="2" width="30.140625" style="23" bestFit="1" customWidth="1"/>
    <col min="3" max="3" width="30.85546875" style="23" bestFit="1" customWidth="1"/>
    <col min="4" max="4" width="10.7109375" style="23" customWidth="1"/>
    <col min="5" max="5" width="9.5703125" style="23" customWidth="1"/>
    <col min="6" max="7" width="9.5703125" style="23" hidden="1" customWidth="1"/>
    <col min="8" max="8" width="15.7109375" style="21" hidden="1" customWidth="1"/>
    <col min="9" max="12" width="15.7109375" style="27" customWidth="1"/>
    <col min="13" max="13" width="10.7109375" style="27" customWidth="1"/>
    <col min="14" max="14" width="9.7109375" style="27" customWidth="1"/>
    <col min="15" max="15" width="15.7109375" style="27" customWidth="1"/>
    <col min="16" max="16" width="10.7109375" style="27" customWidth="1"/>
    <col min="17" max="17" width="9.7109375" style="27" customWidth="1"/>
    <col min="18" max="18" width="15.7109375" style="27" customWidth="1"/>
    <col min="19" max="19" width="10.7109375" style="27" customWidth="1"/>
    <col min="20" max="20" width="9.7109375" style="27" customWidth="1"/>
    <col min="21" max="21" width="15.7109375" style="27" customWidth="1"/>
    <col min="22" max="22" width="10.7109375" style="27" customWidth="1"/>
    <col min="23" max="23" width="9.7109375" style="27" customWidth="1"/>
    <col min="24" max="24" width="15.7109375" style="27" customWidth="1"/>
    <col min="25" max="25" width="10.7109375" style="27" customWidth="1"/>
    <col min="26" max="26" width="9.7109375" style="27" customWidth="1"/>
  </cols>
  <sheetData>
    <row r="1" spans="1:26">
      <c r="B1" s="24"/>
      <c r="C1" s="24"/>
      <c r="D1" s="24"/>
      <c r="E1" s="24"/>
      <c r="F1" s="24"/>
      <c r="G1" s="24"/>
      <c r="H1" s="20"/>
      <c r="I1" s="20" t="s">
        <v>636</v>
      </c>
      <c r="J1" s="20" t="s">
        <v>636</v>
      </c>
      <c r="K1" s="20" t="s">
        <v>636</v>
      </c>
      <c r="L1" s="20" t="s">
        <v>637</v>
      </c>
      <c r="M1" s="20" t="s">
        <v>637</v>
      </c>
      <c r="N1" s="20" t="s">
        <v>637</v>
      </c>
      <c r="O1" s="20" t="s">
        <v>638</v>
      </c>
      <c r="P1" s="20" t="s">
        <v>638</v>
      </c>
      <c r="Q1" s="20" t="s">
        <v>638</v>
      </c>
      <c r="R1" s="20" t="s">
        <v>639</v>
      </c>
      <c r="S1" s="20" t="s">
        <v>639</v>
      </c>
      <c r="T1" s="20" t="s">
        <v>639</v>
      </c>
      <c r="U1" s="20" t="s">
        <v>640</v>
      </c>
      <c r="V1" s="20" t="s">
        <v>640</v>
      </c>
      <c r="W1" s="20" t="s">
        <v>640</v>
      </c>
      <c r="X1" s="20" t="s">
        <v>641</v>
      </c>
      <c r="Y1" s="20" t="s">
        <v>641</v>
      </c>
      <c r="Z1" s="20" t="s">
        <v>641</v>
      </c>
    </row>
    <row r="2" spans="1:26">
      <c r="A2" s="30"/>
      <c r="B2" s="25"/>
      <c r="C2" s="25"/>
      <c r="D2" s="25"/>
      <c r="E2" s="25"/>
      <c r="F2" s="25"/>
      <c r="G2" s="25"/>
      <c r="H2" s="26"/>
      <c r="I2" s="26">
        <v>1</v>
      </c>
      <c r="J2" s="26"/>
      <c r="K2" s="26"/>
      <c r="L2" s="26">
        <v>1</v>
      </c>
      <c r="M2" s="26"/>
      <c r="N2" s="26"/>
      <c r="O2" s="26">
        <v>1</v>
      </c>
      <c r="P2" s="26"/>
      <c r="Q2" s="26"/>
      <c r="R2" s="26">
        <v>1</v>
      </c>
      <c r="S2" s="26"/>
      <c r="T2" s="26"/>
      <c r="U2" s="26">
        <v>1</v>
      </c>
      <c r="V2" s="26"/>
      <c r="W2" s="26"/>
      <c r="X2" s="26">
        <v>1</v>
      </c>
      <c r="Y2" s="26"/>
      <c r="Z2" s="26"/>
    </row>
    <row r="3" spans="1:26" ht="25.5">
      <c r="A3" s="31" t="s">
        <v>630</v>
      </c>
      <c r="B3" s="22" t="s">
        <v>627</v>
      </c>
      <c r="C3" s="22" t="s">
        <v>628</v>
      </c>
      <c r="D3" s="22" t="s">
        <v>631</v>
      </c>
      <c r="E3" s="22" t="s">
        <v>629</v>
      </c>
      <c r="F3" s="22"/>
      <c r="G3" s="22"/>
      <c r="H3" s="20"/>
      <c r="I3" s="20" t="s">
        <v>696</v>
      </c>
      <c r="J3" s="20" t="s">
        <v>686</v>
      </c>
      <c r="K3" s="20" t="s">
        <v>695</v>
      </c>
      <c r="L3" s="20" t="s">
        <v>696</v>
      </c>
      <c r="M3" s="20" t="s">
        <v>686</v>
      </c>
      <c r="N3" s="20" t="s">
        <v>695</v>
      </c>
      <c r="O3" s="20" t="s">
        <v>696</v>
      </c>
      <c r="P3" s="20" t="s">
        <v>686</v>
      </c>
      <c r="Q3" s="20" t="s">
        <v>695</v>
      </c>
      <c r="R3" s="20" t="s">
        <v>696</v>
      </c>
      <c r="S3" s="20" t="s">
        <v>686</v>
      </c>
      <c r="T3" s="20" t="s">
        <v>695</v>
      </c>
      <c r="U3" s="20" t="s">
        <v>696</v>
      </c>
      <c r="V3" s="20" t="s">
        <v>686</v>
      </c>
      <c r="W3" s="20" t="s">
        <v>695</v>
      </c>
      <c r="X3" s="20" t="s">
        <v>696</v>
      </c>
      <c r="Y3" s="20" t="s">
        <v>686</v>
      </c>
      <c r="Z3" s="20" t="s">
        <v>695</v>
      </c>
    </row>
    <row r="4" spans="1:26" s="29" customFormat="1">
      <c r="A4" s="37" t="s">
        <v>372</v>
      </c>
      <c r="B4" s="32" t="str">
        <f>IF(ISBLANK(A4),"",VLOOKUP(A4,List!A:E,2,FALSE))</f>
        <v>Loch Odhairn</v>
      </c>
      <c r="C4" s="32" t="str">
        <f>IF(ISBLANK(A4),"",VLOOKUP(A4,List!A:E,3,FALSE))</f>
        <v>The Scottish Salmon Company</v>
      </c>
      <c r="D4" s="32" t="str">
        <f>IF(ISBLANK(A4),"",VLOOKUP(A4,List!A:E,4,FALSE))</f>
        <v>FB0169</v>
      </c>
      <c r="E4" s="32" t="str">
        <f>IF(ISBLANK(A4),"",VLOOKUP(A4,List!A:E,5,FALSE))</f>
        <v>W-4</v>
      </c>
      <c r="F4" s="32"/>
      <c r="G4" s="32"/>
      <c r="H4" s="33"/>
      <c r="I4" s="34">
        <v>4.8600000000000003</v>
      </c>
      <c r="J4" s="35"/>
      <c r="K4" s="35"/>
      <c r="L4" s="35"/>
      <c r="M4" s="35"/>
      <c r="N4" s="35"/>
      <c r="O4" s="34" t="s">
        <v>700</v>
      </c>
      <c r="P4" s="35"/>
      <c r="Q4" s="35"/>
      <c r="R4" s="35" t="s">
        <v>700</v>
      </c>
      <c r="S4" s="35"/>
      <c r="T4" s="35"/>
      <c r="U4" s="35" t="s">
        <v>700</v>
      </c>
      <c r="V4" s="35"/>
      <c r="W4" s="35"/>
      <c r="X4" s="35" t="s">
        <v>698</v>
      </c>
      <c r="Y4" s="35" t="s">
        <v>708</v>
      </c>
      <c r="Z4" s="35"/>
    </row>
    <row r="5" spans="1:26" s="29" customFormat="1">
      <c r="A5" s="37" t="s">
        <v>394</v>
      </c>
      <c r="B5" s="32" t="str">
        <f>IF(ISBLANK(A5),"",VLOOKUP(A5,List!A:E,2,FALSE))</f>
        <v>Strome</v>
      </c>
      <c r="C5" s="32" t="str">
        <f>IF(ISBLANK(A5),"",VLOOKUP(A5,List!A:E,3,FALSE))</f>
        <v>The Scottish Salmon Company</v>
      </c>
      <c r="D5" s="32" t="str">
        <f>IF(ISBLANK(A5),"",VLOOKUP(A5,List!A:E,4,FALSE))</f>
        <v>FB0169</v>
      </c>
      <c r="E5" s="32" t="str">
        <f>IF(ISBLANK(A5),"",VLOOKUP(A5,List!A:E,5,FALSE))</f>
        <v>M-20</v>
      </c>
      <c r="F5" s="32"/>
      <c r="G5" s="32"/>
      <c r="H5" s="33"/>
      <c r="I5" s="36">
        <v>2.82</v>
      </c>
      <c r="J5" s="35"/>
      <c r="K5" s="35"/>
      <c r="L5" s="35">
        <v>12.62</v>
      </c>
      <c r="M5" s="35" t="s">
        <v>708</v>
      </c>
      <c r="N5" s="35"/>
      <c r="O5" s="35" t="s">
        <v>684</v>
      </c>
      <c r="P5" s="35"/>
      <c r="Q5" s="35"/>
      <c r="R5" s="35" t="s">
        <v>700</v>
      </c>
      <c r="S5" s="35"/>
      <c r="T5" s="35"/>
      <c r="U5" s="35" t="s">
        <v>700</v>
      </c>
      <c r="V5" s="35"/>
      <c r="W5" s="35"/>
      <c r="X5" s="35" t="s">
        <v>707</v>
      </c>
      <c r="Y5" s="35" t="s">
        <v>708</v>
      </c>
      <c r="Z5" s="35"/>
    </row>
    <row r="6" spans="1:26" s="29" customFormat="1">
      <c r="A6" s="38" t="s">
        <v>455</v>
      </c>
      <c r="B6" s="32" t="str">
        <f>IF(ISBLANK(A6),"",VLOOKUP(A6,List!A:E,2,FALSE))</f>
        <v>Gometra</v>
      </c>
      <c r="C6" s="32" t="str">
        <f>IF(ISBLANK(A6),"",VLOOKUP(A6,List!A:E,3,FALSE))</f>
        <v>The Scottish Salmon Company</v>
      </c>
      <c r="D6" s="32" t="str">
        <f>IF(ISBLANK(A6),"",VLOOKUP(A6,List!A:E,4,FALSE))</f>
        <v>FB0169</v>
      </c>
      <c r="E6" s="32" t="str">
        <f>IF(ISBLANK(A6),"",VLOOKUP(A6,List!A:E,5,FALSE))</f>
        <v>M-37</v>
      </c>
      <c r="F6" s="32"/>
      <c r="G6" s="32"/>
      <c r="H6" s="33"/>
      <c r="I6" s="36"/>
      <c r="J6" s="35"/>
      <c r="K6" s="35"/>
      <c r="L6" s="35"/>
      <c r="M6" s="35"/>
      <c r="N6" s="35"/>
      <c r="O6" s="35" t="s">
        <v>700</v>
      </c>
      <c r="P6" s="35" t="s">
        <v>704</v>
      </c>
      <c r="Q6" s="35"/>
      <c r="R6" s="35" t="s">
        <v>697</v>
      </c>
      <c r="S6" s="35"/>
      <c r="T6" s="35"/>
      <c r="U6" s="35" t="s">
        <v>697</v>
      </c>
      <c r="V6" s="35"/>
      <c r="W6" s="35"/>
      <c r="X6" s="35" t="s">
        <v>697</v>
      </c>
      <c r="Y6" s="35"/>
      <c r="Z6" s="35"/>
    </row>
    <row r="7" spans="1:26" s="29" customFormat="1">
      <c r="A7" s="37" t="s">
        <v>443</v>
      </c>
      <c r="B7" s="32" t="str">
        <f>IF(ISBLANK(A7),"",VLOOKUP(A7,List!A:E,2,FALSE))</f>
        <v>Trilleachan Mor</v>
      </c>
      <c r="C7" s="32" t="str">
        <f>IF(ISBLANK(A7),"",VLOOKUP(A7,List!A:E,3,FALSE))</f>
        <v>The Scottish Salmon Company</v>
      </c>
      <c r="D7" s="32" t="str">
        <f>IF(ISBLANK(A7),"",VLOOKUP(A7,List!A:E,4,FALSE))</f>
        <v>FB0169</v>
      </c>
      <c r="E7" s="32" t="str">
        <f>IF(ISBLANK(A7),"",VLOOKUP(A7,List!A:E,5,FALSE))</f>
        <v>W-6</v>
      </c>
      <c r="F7" s="32"/>
      <c r="G7" s="32"/>
      <c r="H7" s="33"/>
      <c r="I7" s="36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 t="s">
        <v>700</v>
      </c>
      <c r="V7" s="35"/>
      <c r="W7" s="35"/>
      <c r="X7" s="35" t="s">
        <v>700</v>
      </c>
      <c r="Y7" s="35" t="s">
        <v>708</v>
      </c>
      <c r="Z7" s="35"/>
    </row>
    <row r="8" spans="1:26" s="29" customFormat="1">
      <c r="A8" s="37" t="s">
        <v>399</v>
      </c>
      <c r="B8" s="32" t="str">
        <f>IF(ISBLANK(A8),"",VLOOKUP(A8,List!A:E,2,FALSE))</f>
        <v>Inch Kenneth</v>
      </c>
      <c r="C8" s="32" t="str">
        <f>IF(ISBLANK(A8),"",VLOOKUP(A8,List!A:E,3,FALSE))</f>
        <v>The Scottish Salmon Company</v>
      </c>
      <c r="D8" s="32" t="str">
        <f>IF(ISBLANK(A8),"",VLOOKUP(A8,List!A:E,4,FALSE))</f>
        <v>FB0169</v>
      </c>
      <c r="E8" s="32" t="str">
        <f>IF(ISBLANK(A8),"",VLOOKUP(A8,List!A:E,5,FALSE))</f>
        <v>M-37</v>
      </c>
      <c r="F8" s="32"/>
      <c r="G8" s="32"/>
      <c r="H8" s="33"/>
      <c r="I8" s="36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 t="s">
        <v>700</v>
      </c>
      <c r="V8" s="35" t="s">
        <v>708</v>
      </c>
      <c r="W8" s="35"/>
      <c r="X8" s="35" t="s">
        <v>697</v>
      </c>
      <c r="Y8" s="35"/>
      <c r="Z8" s="35"/>
    </row>
    <row r="9" spans="1:26" s="29" customFormat="1">
      <c r="A9" s="37" t="s">
        <v>106</v>
      </c>
      <c r="B9" s="32" t="str">
        <f>IF(ISBLANK(A9),"",VLOOKUP(A9,List!A:E,2,FALSE))</f>
        <v>Loch Alsh (Sron)</v>
      </c>
      <c r="C9" s="32" t="str">
        <f>IF(ISBLANK(A9),"",VLOOKUP(A9,List!A:E,3,FALSE))</f>
        <v>Marine Harvest (Scotland) Ltd</v>
      </c>
      <c r="D9" s="32" t="str">
        <f>IF(ISBLANK(A9),"",VLOOKUP(A9,List!A:E,4,FALSE))</f>
        <v>FB0119</v>
      </c>
      <c r="E9" s="32" t="str">
        <f>IF(ISBLANK(A9),"",VLOOKUP(A9,List!A:E,5,FALSE))</f>
        <v>M-21</v>
      </c>
      <c r="F9" s="32"/>
      <c r="G9" s="32"/>
      <c r="H9" s="33"/>
      <c r="I9" s="34">
        <v>4.5599999999999996</v>
      </c>
      <c r="J9" s="35"/>
      <c r="K9" s="35"/>
      <c r="L9" s="35">
        <v>4.29</v>
      </c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s="29" customFormat="1">
      <c r="A10" s="37" t="s">
        <v>168</v>
      </c>
      <c r="B10" s="32" t="str">
        <f>IF(ISBLANK(A10),"",VLOOKUP(A10,List!A:E,2,FALSE))</f>
        <v>Bagh Dail Nan Cean</v>
      </c>
      <c r="C10" s="32" t="str">
        <f>IF(ISBLANK(A10),"",VLOOKUP(A10,List!A:E,3,FALSE))</f>
        <v>Marine Harvest (Scotland) Ltd</v>
      </c>
      <c r="D10" s="32" t="str">
        <f>IF(ISBLANK(A10),"",VLOOKUP(A10,List!A:E,4,FALSE))</f>
        <v>FB0119</v>
      </c>
      <c r="E10" s="32" t="str">
        <f>IF(ISBLANK(A10),"",VLOOKUP(A10,List!A:E,5,FALSE))</f>
        <v>M-40</v>
      </c>
      <c r="F10" s="32"/>
      <c r="G10" s="32"/>
      <c r="H10" s="33"/>
      <c r="I10" s="36">
        <v>9.48</v>
      </c>
      <c r="J10" s="35"/>
      <c r="K10" s="35"/>
      <c r="L10" s="35">
        <v>7.68</v>
      </c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spans="1:26" s="29" customFormat="1">
      <c r="A11" s="37" t="s">
        <v>179</v>
      </c>
      <c r="B11" s="32" t="str">
        <f>IF(ISBLANK(A11),"",VLOOKUP(A11,List!A:E,2,FALSE))</f>
        <v>North Shore</v>
      </c>
      <c r="C11" s="32" t="str">
        <f>IF(ISBLANK(A11),"",VLOOKUP(A11,List!A:E,3,FALSE))</f>
        <v>Marine Harvest (Scotland) Ltd</v>
      </c>
      <c r="D11" s="32" t="str">
        <f>IF(ISBLANK(A11),"",VLOOKUP(A11,List!A:E,4,FALSE))</f>
        <v>FB0119</v>
      </c>
      <c r="E11" s="32" t="str">
        <f>IF(ISBLANK(A11),"",VLOOKUP(A11,List!A:E,5,FALSE))</f>
        <v>W-3</v>
      </c>
      <c r="F11" s="32"/>
      <c r="G11" s="32"/>
      <c r="H11" s="33"/>
      <c r="I11" s="36"/>
      <c r="J11" s="35"/>
      <c r="K11" s="35"/>
      <c r="L11" s="35"/>
      <c r="M11" s="35"/>
      <c r="N11" s="35"/>
      <c r="O11" s="35">
        <v>1.17</v>
      </c>
      <c r="P11" s="35"/>
      <c r="Q11" s="35"/>
      <c r="R11" s="35">
        <v>3.52</v>
      </c>
      <c r="S11" s="35"/>
      <c r="T11" s="35"/>
      <c r="U11" s="35">
        <v>0.42</v>
      </c>
      <c r="V11" s="35"/>
      <c r="W11" s="35"/>
      <c r="X11" s="35"/>
      <c r="Y11" s="35"/>
      <c r="Z11" s="35"/>
    </row>
    <row r="12" spans="1:26" s="29" customFormat="1">
      <c r="A12" s="37" t="s">
        <v>141</v>
      </c>
      <c r="B12" s="32" t="str">
        <f>IF(ISBLANK(A12),"",VLOOKUP(A12,List!A:E,2,FALSE))</f>
        <v>Camas Glas</v>
      </c>
      <c r="C12" s="32" t="str">
        <f>IF(ISBLANK(A12),"",VLOOKUP(A12,List!A:E,3,FALSE))</f>
        <v>Marine Harvest (Scotland) Ltd</v>
      </c>
      <c r="D12" s="32" t="str">
        <f>IF(ISBLANK(A12),"",VLOOKUP(A12,List!A:E,4,FALSE))</f>
        <v>FB0119</v>
      </c>
      <c r="E12" s="32" t="str">
        <f>IF(ISBLANK(A12),"",VLOOKUP(A12,List!A:E,5,FALSE))</f>
        <v>M-34</v>
      </c>
      <c r="F12" s="32"/>
      <c r="G12" s="32"/>
      <c r="H12" s="33"/>
      <c r="I12" s="36"/>
      <c r="J12" s="35"/>
      <c r="K12" s="35"/>
      <c r="L12" s="35">
        <v>3.34</v>
      </c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s="29" customFormat="1">
      <c r="A13" s="37" t="s">
        <v>358</v>
      </c>
      <c r="B13" s="32" t="str">
        <f>IF(ISBLANK(A13),"",VLOOKUP(A13,List!A:E,2,FALSE))</f>
        <v>Shuna SW (Rubh'an Trilleachain)</v>
      </c>
      <c r="C13" s="32" t="str">
        <f>IF(ISBLANK(A13),"",VLOOKUP(A13,List!A:E,3,FALSE))</f>
        <v>Kames Fish Farming Ltd</v>
      </c>
      <c r="D13" s="32" t="str">
        <f>IF(ISBLANK(A13),"",VLOOKUP(A13,List!A:E,4,FALSE))</f>
        <v>FB0134</v>
      </c>
      <c r="E13" s="32" t="str">
        <f>IF(ISBLANK(A13),"",VLOOKUP(A13,List!A:E,5,FALSE))</f>
        <v>M-40</v>
      </c>
      <c r="F13" s="32"/>
      <c r="G13" s="32"/>
      <c r="H13" s="33"/>
      <c r="I13" s="36">
        <v>5.41</v>
      </c>
      <c r="J13" s="35"/>
      <c r="K13" s="35"/>
      <c r="L13" s="35">
        <v>3.39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spans="1:26" s="29" customFormat="1">
      <c r="A14" s="37" t="s">
        <v>550</v>
      </c>
      <c r="B14" s="32" t="str">
        <f>IF(ISBLANK(A14),"",VLOOKUP(A14,List!A:E,2,FALSE))</f>
        <v>Cole Deep</v>
      </c>
      <c r="C14" s="32" t="str">
        <f>IF(ISBLANK(A14),"",VLOOKUP(A14,List!A:E,3,FALSE))</f>
        <v>Grieg Seafood Shetland Ltd</v>
      </c>
      <c r="D14" s="32" t="str">
        <f>IF(ISBLANK(A14),"",VLOOKUP(A14,List!A:E,4,FALSE))</f>
        <v>FB0440</v>
      </c>
      <c r="E14" s="32" t="str">
        <f>IF(ISBLANK(A14),"",VLOOKUP(A14,List!A:E,5,FALSE))</f>
        <v>S-8b</v>
      </c>
      <c r="F14" s="32"/>
      <c r="G14" s="32"/>
      <c r="H14" s="33"/>
      <c r="I14" s="36">
        <v>7.5</v>
      </c>
      <c r="J14" s="35" t="s">
        <v>704</v>
      </c>
      <c r="K14" s="35"/>
      <c r="L14" s="35">
        <v>10.37</v>
      </c>
      <c r="M14" s="35" t="s">
        <v>704</v>
      </c>
      <c r="N14" s="35"/>
      <c r="O14" s="35" t="s">
        <v>684</v>
      </c>
      <c r="P14" s="35" t="s">
        <v>704</v>
      </c>
      <c r="Q14" s="35"/>
      <c r="R14" s="35" t="s">
        <v>685</v>
      </c>
      <c r="S14" s="35" t="s">
        <v>685</v>
      </c>
      <c r="T14" s="35" t="s">
        <v>685</v>
      </c>
      <c r="U14" s="35"/>
      <c r="V14" s="35"/>
      <c r="W14" s="35"/>
      <c r="X14" s="35"/>
      <c r="Y14" s="35"/>
      <c r="Z14" s="35"/>
    </row>
    <row r="15" spans="1:26" s="29" customFormat="1">
      <c r="A15" s="37" t="s">
        <v>587</v>
      </c>
      <c r="B15" s="32" t="str">
        <f>IF(ISBLANK(A15),"",VLOOKUP(A15,List!A:E,2,FALSE))</f>
        <v>East of Papa Little</v>
      </c>
      <c r="C15" s="32" t="str">
        <f>IF(ISBLANK(A15),"",VLOOKUP(A15,List!A:E,3,FALSE))</f>
        <v>Grieg Seafood Shetland Ltd</v>
      </c>
      <c r="D15" s="32" t="str">
        <f>IF(ISBLANK(A15),"",VLOOKUP(A15,List!A:E,4,FALSE))</f>
        <v>FB0440</v>
      </c>
      <c r="E15" s="32" t="str">
        <f>IF(ISBLANK(A15),"",VLOOKUP(A15,List!A:E,5,FALSE))</f>
        <v>S-8b</v>
      </c>
      <c r="F15" s="32"/>
      <c r="G15" s="32"/>
      <c r="H15" s="33"/>
      <c r="I15" s="36">
        <v>3.47</v>
      </c>
      <c r="J15" s="35" t="s">
        <v>702</v>
      </c>
      <c r="K15" s="35"/>
      <c r="L15" s="35">
        <v>4.0999999999999996</v>
      </c>
      <c r="M15" s="35"/>
      <c r="N15" s="35"/>
      <c r="O15" s="35" t="s">
        <v>684</v>
      </c>
      <c r="P15" s="35"/>
      <c r="Q15" s="35"/>
      <c r="R15" s="35" t="s">
        <v>684</v>
      </c>
      <c r="S15" s="35"/>
      <c r="T15" s="35"/>
      <c r="U15" s="35" t="s">
        <v>684</v>
      </c>
      <c r="V15" s="35"/>
      <c r="W15" s="35"/>
      <c r="X15" s="35" t="s">
        <v>685</v>
      </c>
      <c r="Y15" s="35" t="s">
        <v>685</v>
      </c>
      <c r="Z15" s="35" t="s">
        <v>685</v>
      </c>
    </row>
    <row r="16" spans="1:26" s="29" customFormat="1">
      <c r="A16" s="37" t="s">
        <v>40</v>
      </c>
      <c r="B16" s="32" t="str">
        <f>IF(ISBLANK(A16),"",VLOOKUP(A16,List!A:E,2,FALSE))</f>
        <v>Turness</v>
      </c>
      <c r="C16" s="32" t="str">
        <f>IF(ISBLANK(A16),"",VLOOKUP(A16,List!A:E,3,FALSE))</f>
        <v>Cooke Aquaculture Scotland Ltd</v>
      </c>
      <c r="D16" s="32" t="str">
        <f>IF(ISBLANK(A16),"",VLOOKUP(A16,List!A:E,4,FALSE))</f>
        <v>FB0095</v>
      </c>
      <c r="E16" s="32" t="str">
        <f>IF(ISBLANK(A16),"",VLOOKUP(A16,List!A:E,5,FALSE))</f>
        <v>S-2</v>
      </c>
      <c r="F16" s="32"/>
      <c r="G16" s="32"/>
      <c r="H16" s="33"/>
      <c r="I16" s="36"/>
      <c r="J16" s="35"/>
      <c r="K16" s="35"/>
      <c r="L16" s="35">
        <v>4.2</v>
      </c>
      <c r="M16" s="35"/>
      <c r="N16" s="35"/>
      <c r="O16" s="35"/>
      <c r="P16" s="35"/>
      <c r="Q16" s="35"/>
      <c r="R16" s="35">
        <v>4.5599999999999996</v>
      </c>
      <c r="S16" s="35" t="s">
        <v>702</v>
      </c>
      <c r="T16" s="35"/>
      <c r="U16" s="35" t="s">
        <v>697</v>
      </c>
      <c r="V16" s="35"/>
      <c r="W16" s="35"/>
      <c r="X16" s="35"/>
      <c r="Y16" s="35"/>
      <c r="Z16" s="35"/>
    </row>
  </sheetData>
  <sheetProtection sheet="1" scenarios="1" selectLockedCells="1" autoFilter="0"/>
  <dataValidations count="1">
    <dataValidation type="custom" allowBlank="1" showInputMessage="1" showErrorMessage="1" error="Site already entered:_x000a__x000a_Please add data to existing row." sqref="A4:A235">
      <formula1>COUNTIF($A$4:$A$235,A4)=1</formula1>
    </dataValidation>
  </dataValidations>
  <pageMargins left="0.7" right="0.7" top="0.75" bottom="0.75" header="0.3" footer="0.3"/>
  <pageSetup paperSize="9" scale="42" orientation="landscape" r:id="rId1"/>
  <legacyDrawing r:id="rId2"/>
  <extLst xmlns:x14="http://schemas.microsoft.com/office/spreadsheetml/2009/9/main">
    <ext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List!$B:$B</xm:f>
          </x14:formula1>
          <xm:sqref>B4:B1048576</xm:sqref>
        </x14:dataValidation>
        <x14:dataValidation type="list" allowBlank="1" showInputMessage="1" showErrorMessage="1">
          <x14:formula1>
            <xm:f>List!$F$1:$F$7</xm:f>
          </x14:formula1>
          <xm:sqref>J4:J1048576 K17:L1048576 O17:O1048576 R17:R1048576 U17:U1048576 X17:X1048576 H4:H1048576 I17:I1048576 M4:M16 P4:P16 S4:S16 Y4:Y16 V4:V16</xm:sqref>
        </x14:dataValidation>
        <x14:dataValidation type="list" allowBlank="1" showInputMessage="1" showErrorMessage="1">
          <x14:formula1>
            <xm:f>List!$G$1:$G$4</xm:f>
          </x14:formula1>
          <xm:sqref>V17:V1048576 S17:S1048576 P17:P1048576 M17:M1048576 Y17:Y1048576 Z4:Z16 W4:W16 T4:T16 Q4:Q16 N4:N16 K4:K16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2017 Report</vt:lpstr>
      <vt:lpstr>2017 Interventions</vt:lpstr>
      <vt:lpstr>2016 Report</vt:lpstr>
      <vt:lpstr>2016 Interventions</vt:lpstr>
      <vt:lpstr>List</vt:lpstr>
      <vt:lpstr>2017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U202476</dc:creator>
  <cp:lastModifiedBy>Don</cp:lastModifiedBy>
  <cp:lastPrinted>2018-03-05T15:11:03Z</cp:lastPrinted>
  <dcterms:created xsi:type="dcterms:W3CDTF">2017-01-13T09:54:49Z</dcterms:created>
  <dcterms:modified xsi:type="dcterms:W3CDTF">2018-03-10T15:39:56Z</dcterms:modified>
</cp:coreProperties>
</file>